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80" yWindow="65296" windowWidth="14535" windowHeight="9180" activeTab="0"/>
  </bookViews>
  <sheets>
    <sheet name="Integrated Food Service" sheetId="1" r:id="rId1"/>
  </sheets>
  <definedNames>
    <definedName name="_xlnm.Print_Area" localSheetId="0">'Integrated Food Service'!$A$1:$J$159</definedName>
    <definedName name="_xlnm.Print_Titles" localSheetId="0">'Integrated Food Service'!$1:$12</definedName>
  </definedNames>
  <calcPr fullCalcOnLoad="1"/>
</workbook>
</file>

<file path=xl/sharedStrings.xml><?xml version="1.0" encoding="utf-8"?>
<sst xmlns="http://schemas.openxmlformats.org/spreadsheetml/2006/main" count="301" uniqueCount="271">
  <si>
    <t>Code</t>
  </si>
  <si>
    <t>C96100</t>
  </si>
  <si>
    <t>C32120B</t>
  </si>
  <si>
    <t>C32225B</t>
  </si>
  <si>
    <t>C12225B</t>
  </si>
  <si>
    <t>C12225P</t>
  </si>
  <si>
    <t>C12240B</t>
  </si>
  <si>
    <t>C12240P</t>
  </si>
  <si>
    <t>C23260B</t>
  </si>
  <si>
    <t>C15260B</t>
  </si>
  <si>
    <t>C78000B</t>
  </si>
  <si>
    <t>C47007</t>
  </si>
  <si>
    <t>Product Description</t>
  </si>
  <si>
    <t>Estimated Annual Total lbs needed page 2</t>
  </si>
  <si>
    <t>Estimated Annual Total lbs needed</t>
  </si>
  <si>
    <t>C47107</t>
  </si>
  <si>
    <t>C32300B</t>
  </si>
  <si>
    <t>Estimated Annual Total lbs needed page 1</t>
  </si>
  <si>
    <t>C10400</t>
  </si>
  <si>
    <t>Cases Needed</t>
  </si>
  <si>
    <t>Estimated Annual Total Lbs. Needed Page 1</t>
  </si>
  <si>
    <t>Estimated Annual Total Lbs. Needed Page 2</t>
  </si>
  <si>
    <t>Estimated Annual Total lbs needed page 3</t>
  </si>
  <si>
    <t>Estimated Annual Total Lbs. Needed Page 3</t>
  </si>
  <si>
    <t>S  U  M  M  A  R  Y</t>
  </si>
  <si>
    <t>C48008</t>
  </si>
  <si>
    <t>Unit    Oz</t>
  </si>
  <si>
    <t>Case Count</t>
  </si>
  <si>
    <t>C22050B</t>
  </si>
  <si>
    <t>C70401</t>
  </si>
  <si>
    <t>C12120B</t>
  </si>
  <si>
    <t>C15250B</t>
  </si>
  <si>
    <t>C32000B</t>
  </si>
  <si>
    <t>C95200</t>
  </si>
  <si>
    <t>C32225P</t>
  </si>
  <si>
    <t>Beef:  31.64 lbs.</t>
  </si>
  <si>
    <t>BBQ Rib Shaped Beef Patty w/o Sauce - Bulk</t>
  </si>
  <si>
    <t>310-523-3664              310-523-1619 fax</t>
  </si>
  <si>
    <t>C99018</t>
  </si>
  <si>
    <t>C32300B-NF</t>
  </si>
  <si>
    <t>Chili Cheese Dog, Low Sodium, Reduced Fat, IW</t>
  </si>
  <si>
    <t>Grilled Cheese Sandwich on Whole Grain Bread, Reduced Sodium, IW</t>
  </si>
  <si>
    <t>C47220</t>
  </si>
  <si>
    <r>
      <t>Spicy</t>
    </r>
    <r>
      <rPr>
        <b/>
        <sz val="10"/>
        <rFont val="Arial Narrow"/>
        <family val="2"/>
      </rPr>
      <t xml:space="preserve"> Grilled Cheese Sandwich on Whole Grain Bread - IW</t>
    </r>
  </si>
  <si>
    <t>Turkey Ham &amp; Cheese Sandwich on a Whole Grain French Roll - IW</t>
  </si>
  <si>
    <t>C46007</t>
  </si>
  <si>
    <t>C32300B-30NF</t>
  </si>
  <si>
    <t>310 W. Alondra Blvd. Gardena, CA 90248</t>
  </si>
  <si>
    <t>BBQ Rib Shaped Beef Patty with BBQ Sauce - Bulk</t>
  </si>
  <si>
    <t>C13100</t>
  </si>
  <si>
    <t>C13008</t>
  </si>
  <si>
    <t>C10800</t>
  </si>
  <si>
    <t>C10900</t>
  </si>
  <si>
    <t>C38021</t>
  </si>
  <si>
    <t>C13001</t>
  </si>
  <si>
    <t>Fully Cooked Beef Patty w/ Applesauce - Bulk</t>
  </si>
  <si>
    <t>C32240B</t>
  </si>
  <si>
    <t>C25215B</t>
  </si>
  <si>
    <t>All American Burger on a Whole Grain Bun, IW</t>
  </si>
  <si>
    <t>C16070GLZ</t>
  </si>
  <si>
    <t>Turkey Ham, Egg &amp; Cheese Sunrise Stick on a Whole Grain Flour Tortilla, IW</t>
  </si>
  <si>
    <t>C80916</t>
  </si>
  <si>
    <t>Beef Sausage Breakfast Sandwich on a Whole Grain Hawaiian Bun, IW</t>
  </si>
  <si>
    <t>BBQ Rib Sandwich on a Whole Grain Roll, IW</t>
  </si>
  <si>
    <t>Teriyaki Burger on a Whole Grain Hawaiian Bun, IW</t>
  </si>
  <si>
    <t>Cheeseburger Sliders on Whole Grain Buns, Reduced Sodium, IW</t>
  </si>
  <si>
    <t xml:space="preserve">Beef &amp; Cheese Chalupa on a Whole Grain Tostada Bowl </t>
  </si>
  <si>
    <t xml:space="preserve">Bean &amp; Cheese Chalupa on a Whole Grain Tostada Bowl </t>
  </si>
  <si>
    <t>Beef Breakfast Sausage Patty, Bulk</t>
  </si>
  <si>
    <t>C80940</t>
  </si>
  <si>
    <t xml:space="preserve">Whole Grain Sourdough Grilled Cheese w/ Turkey Bacon, IW  </t>
  </si>
  <si>
    <t xml:space="preserve">Twice Grilled Three Cheese Quesadilla on a Whole Grain Flour Tortilla, IW   </t>
  </si>
  <si>
    <t xml:space="preserve">Beef Sausage &amp; Cheese on a Whole Grain Mini Bagel, IW     </t>
  </si>
  <si>
    <t>C10310</t>
  </si>
  <si>
    <t>C80950</t>
  </si>
  <si>
    <t>C51140</t>
  </si>
  <si>
    <t>Grilled Cheese Sandwich on Whole Grain Bread, Reduced Sodium</t>
  </si>
  <si>
    <t>Breakfast Grilled Cheese Sandwich on Whole Grain Bread Reduced Sodium, IW</t>
  </si>
  <si>
    <t>C36200</t>
  </si>
  <si>
    <t>Meatballs, 40# Bulk (2/ 20# bags)</t>
  </si>
  <si>
    <t xml:space="preserve">Whole Grain Sourdough Grilled Cheese, IW </t>
  </si>
  <si>
    <t>Charbroiled Mesquite Beef Patty, 10% APP - Bulk</t>
  </si>
  <si>
    <t>Charbroiled Beef &amp; Onion Patty, 20% APP - Bulk</t>
  </si>
  <si>
    <t>C16001</t>
  </si>
  <si>
    <t>C13018</t>
  </si>
  <si>
    <t>Grilled Cheese Sandwich on Whole Grain Bread,  IW</t>
  </si>
  <si>
    <t>Grilled Cheese Sandwich on Whole Grain Bread, IW</t>
  </si>
  <si>
    <t>Turkey Ham &amp; Cheese Sandwich on a Whole Grain Knot Roll - IW</t>
  </si>
  <si>
    <t>Wienerschnitzel Chili Cheese Dog on a Whole Grain Bun, IW</t>
  </si>
  <si>
    <t>Twice Grilled Cheese Quesadilla on a Whole Grain Flour Tortilla, IW</t>
  </si>
  <si>
    <t>All American Cheeseburger on a Whole Grain Bun, IW</t>
  </si>
  <si>
    <t>Beef &amp; Cheese Taco Stick on a Whole Grain Flour Tortilla, IW</t>
  </si>
  <si>
    <t>Fully Cooked Beef Salisbury Patty - Bulk</t>
  </si>
  <si>
    <r>
      <t xml:space="preserve">Mini Slider Beef Patty, </t>
    </r>
    <r>
      <rPr>
        <b/>
        <i/>
        <sz val="10"/>
        <color indexed="12"/>
        <rFont val="Arial Narrow"/>
        <family val="2"/>
      </rPr>
      <t>Reduced Sodium</t>
    </r>
    <r>
      <rPr>
        <b/>
        <sz val="10"/>
        <rFont val="Arial Narrow"/>
        <family val="2"/>
      </rPr>
      <t>- Bulk</t>
    </r>
  </si>
  <si>
    <r>
      <t xml:space="preserve">Charbroiled Beef Patty, 10% APP, </t>
    </r>
    <r>
      <rPr>
        <b/>
        <i/>
        <sz val="10"/>
        <color indexed="12"/>
        <rFont val="Arial Narrow"/>
        <family val="2"/>
      </rPr>
      <t>Reduced Sodium</t>
    </r>
    <r>
      <rPr>
        <b/>
        <sz val="10"/>
        <rFont val="Arial Narrow"/>
        <family val="2"/>
      </rPr>
      <t xml:space="preserve">- Bulk </t>
    </r>
  </si>
  <si>
    <r>
      <t xml:space="preserve">Charbroiled Beef Patty, 10% APP, </t>
    </r>
    <r>
      <rPr>
        <b/>
        <i/>
        <sz val="10"/>
        <color indexed="12"/>
        <rFont val="Arial Narrow"/>
        <family val="2"/>
      </rPr>
      <t>Reduced Sodium</t>
    </r>
    <r>
      <rPr>
        <b/>
        <sz val="10"/>
        <rFont val="Arial Narrow"/>
        <family val="2"/>
      </rPr>
      <t>- Sleeve Pack</t>
    </r>
  </si>
  <si>
    <t xml:space="preserve">C13600 </t>
  </si>
  <si>
    <t xml:space="preserve">C82651-IW </t>
  </si>
  <si>
    <t>C82605-Bulk</t>
  </si>
  <si>
    <t xml:space="preserve">C82751-IW </t>
  </si>
  <si>
    <t>C82705-Bulk</t>
  </si>
  <si>
    <r>
      <t xml:space="preserve">Turkey Ham &amp; Cheese on a Whole Grain Hawaiian Bun, IW     </t>
    </r>
    <r>
      <rPr>
        <b/>
        <i/>
        <sz val="10"/>
        <color indexed="10"/>
        <rFont val="Arial Narrow"/>
        <family val="2"/>
      </rPr>
      <t>NEW</t>
    </r>
  </si>
  <si>
    <r>
      <t xml:space="preserve">Whole Grain Sourdough Grilled Cheese w/ Turkey Bacon, IW     </t>
    </r>
    <r>
      <rPr>
        <b/>
        <i/>
        <sz val="10"/>
        <color indexed="10"/>
        <rFont val="Arial Narrow"/>
        <family val="2"/>
      </rPr>
      <t>NEW</t>
    </r>
  </si>
  <si>
    <t>Proc Chs: 4.50 lbs.</t>
  </si>
  <si>
    <t>Mozz: 12.51 lbs.</t>
  </si>
  <si>
    <t>Beef: 20.20 lbs.</t>
  </si>
  <si>
    <t>Processed Cheese Lbs.</t>
  </si>
  <si>
    <t>Mozzarella Lbs.</t>
  </si>
  <si>
    <t>Ground Beef Lbs.</t>
  </si>
  <si>
    <t>2 oz. Equiv. Grain, 2 M/MA                                                                                                                            Proc Chs: 9.00 lbs.</t>
  </si>
  <si>
    <t>2 oz. Equiv. Grain, 1.5 M/MA                                                                                                                         Proc Chs: 6.75 lbs.</t>
  </si>
  <si>
    <t>Deli Sandwiches</t>
  </si>
  <si>
    <t>Lunch Products</t>
  </si>
  <si>
    <t xml:space="preserve">Breakfast Products </t>
  </si>
  <si>
    <t>2 oz. Equiv. Grain, 2 M/MA                                                                                                                            Proc Chs: 9.23 lbs.</t>
  </si>
  <si>
    <t>2 oz. Equiv. Grain, 2 M/MA                                                                                                                            Proc Chs: 8.55 lbs.</t>
  </si>
  <si>
    <t>2 oz. Equiv. Grain, 2 M/MA                                                                                                                           Proc Chs: 2.25 lbs.</t>
  </si>
  <si>
    <t>2 oz. Equiv. Grain, 2 M/MA                                                                                                                           Proc Chs: 4.50 lbs.</t>
  </si>
  <si>
    <t>2 oz. Equiv. Grain, 1 M/MA</t>
  </si>
  <si>
    <t>2 oz. Equiv. Grain, 1 M/MA                                                                                                                            Proc Chs: 2.50 lbs.</t>
  </si>
  <si>
    <t>1 oz. Equiv. Grain, 1 M/MA                                                                                                                           Proc Chs: 1.56 lbs.</t>
  </si>
  <si>
    <t>2 oz. Equiv. Grain, 2 M/MA                                                                                                                                  Beef: 7.71 lbs.</t>
  </si>
  <si>
    <t>2 oz. Equiv. Grain, 2.25 M/MA                                                                                            Proc Chs: 1.09 lbs., Beef: 7.71 lbs.</t>
  </si>
  <si>
    <t>2 oz. Equiv. Grain, 2 M/MA                                                                                                                            Proc Chs: 1.17 lbs.</t>
  </si>
  <si>
    <t>1=1 oz. Equiv. Grain, 1 M/MA     2=2 oz. Equiv. Grain, 2 M/MA                                                                        Mozz: 7.50 lbs.</t>
  </si>
  <si>
    <t>2 M/MA                                                                                                                                                               Beef: 17.27 lbs.</t>
  </si>
  <si>
    <t>2.25 M/MA                                                                                                                                                          Beef: 23.52 lbs.</t>
  </si>
  <si>
    <t>4 pcs of 0.70 oz. per serving = 2.5 M/MA</t>
  </si>
  <si>
    <t>2.25 M/MA                                                                                                                                                          Beef: 18.70 lbs.</t>
  </si>
  <si>
    <t>2 M/MA</t>
  </si>
  <si>
    <r>
      <rPr>
        <sz val="8"/>
        <rFont val="Arial Narrow"/>
        <family val="2"/>
      </rPr>
      <t xml:space="preserve">3 oz. Serving = 2 M/MA </t>
    </r>
    <r>
      <rPr>
        <i/>
        <sz val="8"/>
        <rFont val="Arial Narrow"/>
        <family val="2"/>
      </rPr>
      <t xml:space="preserve">     (8/5# Bags - Approx. 213 servings)</t>
    </r>
  </si>
  <si>
    <t>Proc Chs: 9.00 lbs.</t>
  </si>
  <si>
    <t xml:space="preserve">1.5 oz. Equiv. Grain, 1.5 M/MA                                                                                                                      </t>
  </si>
  <si>
    <t>Proc Chs: 6.75 lbs.</t>
  </si>
  <si>
    <t>Proc Chs: 9.23 lbs.</t>
  </si>
  <si>
    <t>Proc Chs: 8.55 lbs.</t>
  </si>
  <si>
    <t>Proc Chs: 2.25 lbs.</t>
  </si>
  <si>
    <t xml:space="preserve">1.5 oz. Equiv. Grain, 1 M/MA                                                                                                                        </t>
  </si>
  <si>
    <t>Proc Chs: 4.28 lbs.</t>
  </si>
  <si>
    <t>Proc Chs: 2.50 lbs.</t>
  </si>
  <si>
    <t xml:space="preserve">2 oz. Equiv. Grain, 1 M/MA                                                                                                                               </t>
  </si>
  <si>
    <t>Beef:  10.70 lbs.</t>
  </si>
  <si>
    <t xml:space="preserve">1.25 oz. Equiv. Grain, 1.25 M/MA                                                                                        </t>
  </si>
  <si>
    <t>Proc Chs: 1.13 lbs., Beef: 7.70 lbs.</t>
  </si>
  <si>
    <t xml:space="preserve">1.25 oz. Equiv. Grain, 0.75 M/MA                                                                                                                       </t>
  </si>
  <si>
    <t>Mozz: 4.69 lbs.</t>
  </si>
  <si>
    <t xml:space="preserve">Proc Chs: 1.56 lbs. </t>
  </si>
  <si>
    <t xml:space="preserve">1 oz. Equiv. Grain, 1.25 M/MA                                                                                                                      </t>
  </si>
  <si>
    <t>Proc Chs:  2.19 lbs.</t>
  </si>
  <si>
    <t xml:space="preserve">2 oz. Equiv. Grain, 2 M/MA                                                                                                                         </t>
  </si>
  <si>
    <t>Proc Chs:  1.25 lbs.</t>
  </si>
  <si>
    <t>Proc Chs:  2.25 lbs.</t>
  </si>
  <si>
    <t>Proc Chs:  1.17 lbs.</t>
  </si>
  <si>
    <t>Beef: 7.71 lbs.</t>
  </si>
  <si>
    <t>Proc Chs:  1.09 lbs.,  Beef: 7.71 lbs.</t>
  </si>
  <si>
    <t xml:space="preserve">2 oz. Equiv. Grain, 2 M/MA                                                                                                 </t>
  </si>
  <si>
    <t xml:space="preserve">2 oz. Equiv. Grain, 2 M/MA                                                                                                        </t>
  </si>
  <si>
    <t>Mozz: 3.12 lbs., Beef: 3.71 lbs.</t>
  </si>
  <si>
    <t xml:space="preserve">1 oz. Equiv. Grain, 2 M/MA                                                                                                        </t>
  </si>
  <si>
    <t>Mozz: 6.76 lbs., Beef: 2.85 lbs.</t>
  </si>
  <si>
    <t xml:space="preserve">1 oz. Equiv. Grain, 2 M/MA                                                                                                                                  </t>
  </si>
  <si>
    <t>Mozz: 4.95 lbs.</t>
  </si>
  <si>
    <t xml:space="preserve">2 oz. Equiv. Grain, 2.25 M/MA                                                                                                                             </t>
  </si>
  <si>
    <t>Beef:  7.32 lbs.</t>
  </si>
  <si>
    <t>Proc Chs: 1.17 lbs., Beef: 10.28 lbs.</t>
  </si>
  <si>
    <t xml:space="preserve">1 M/MA                                                                                                                                                               </t>
  </si>
  <si>
    <t>Beef: 20.56 lbs.</t>
  </si>
  <si>
    <t xml:space="preserve">2 M/MA                                                                                                                                                              </t>
  </si>
  <si>
    <t xml:space="preserve"> Beef: 21.58 lbs.</t>
  </si>
  <si>
    <t xml:space="preserve">2 M/MA                                                                                                                                                               </t>
  </si>
  <si>
    <t>Beef: 16.19 lbs.</t>
  </si>
  <si>
    <t>Beef: 21.71 lbs.</t>
  </si>
  <si>
    <t>Beef: 17.27 lbs.</t>
  </si>
  <si>
    <t>Beef: 21.88 lbs.</t>
  </si>
  <si>
    <t>Beef: 23.52 lbs.</t>
  </si>
  <si>
    <t xml:space="preserve">5 pcs per serving = 2 M/MA                                                                                                                               </t>
  </si>
  <si>
    <t>Beef: 18.70 lbs.</t>
  </si>
  <si>
    <t>Beef: 26.34 lbs.</t>
  </si>
  <si>
    <t>Beef: 53.52 lbs.</t>
  </si>
  <si>
    <t>Beef: 34.34 lbs.</t>
  </si>
  <si>
    <t>Beef: 17.58 lbs.</t>
  </si>
  <si>
    <t>Beef: 26.75 lbs.</t>
  </si>
  <si>
    <t>Beef: 19.76 lbs.</t>
  </si>
  <si>
    <t>Beef: 30.11 lbs.</t>
  </si>
  <si>
    <t>Beef: 22.58 lbs.</t>
  </si>
  <si>
    <r>
      <t xml:space="preserve">Triple B 100% All Beef Burger 2.25 oz. - Bulk - </t>
    </r>
    <r>
      <rPr>
        <b/>
        <i/>
        <sz val="10"/>
        <color indexed="10"/>
        <rFont val="Arial Narrow"/>
        <family val="2"/>
      </rPr>
      <t>Without</t>
    </r>
    <r>
      <rPr>
        <b/>
        <i/>
        <sz val="10"/>
        <color indexed="12"/>
        <rFont val="Arial Narrow"/>
        <family val="2"/>
      </rPr>
      <t xml:space="preserve"> Foil Wrappers</t>
    </r>
  </si>
  <si>
    <t>Triple B 100% All Beef Burger 2.25 oz. - Sleeve Pack</t>
  </si>
  <si>
    <r>
      <t xml:space="preserve">Triple B 100% All Beef Burger 2.40 oz. - </t>
    </r>
    <r>
      <rPr>
        <b/>
        <i/>
        <sz val="10"/>
        <color indexed="12"/>
        <rFont val="Arial Narrow"/>
        <family val="2"/>
      </rPr>
      <t>With Foil Wrappers</t>
    </r>
  </si>
  <si>
    <r>
      <t xml:space="preserve">Triple B 100% All Beef Burger 3.00 oz., Reduced Sodium - </t>
    </r>
    <r>
      <rPr>
        <b/>
        <i/>
        <sz val="10"/>
        <color indexed="12"/>
        <rFont val="Arial Narrow"/>
        <family val="2"/>
      </rPr>
      <t>With Foil Wrappers</t>
    </r>
  </si>
  <si>
    <r>
      <t xml:space="preserve">Triple B 100% All Beef Burger 3.00 oz., Reduced Sodium - </t>
    </r>
    <r>
      <rPr>
        <b/>
        <i/>
        <sz val="10"/>
        <color indexed="10"/>
        <rFont val="Arial Narrow"/>
        <family val="2"/>
      </rPr>
      <t>Without</t>
    </r>
    <r>
      <rPr>
        <b/>
        <i/>
        <sz val="10"/>
        <color indexed="12"/>
        <rFont val="Arial Narrow"/>
        <family val="2"/>
      </rPr>
      <t xml:space="preserve"> Foil Wrappers</t>
    </r>
  </si>
  <si>
    <t>Beef: 40.14 lbs.</t>
  </si>
  <si>
    <t>Estimated Servings Required</t>
  </si>
  <si>
    <t>Time Period:</t>
  </si>
  <si>
    <t>To:</t>
  </si>
  <si>
    <t>From:</t>
  </si>
  <si>
    <t>Teriyaki Beef Blasters with Sauce, 10% APP - Servings are approx. and within (+) (-) 5%</t>
  </si>
  <si>
    <t>Kettle Cook Beef Taco Meat - Servings are approx. and within (+) (-) 5%</t>
  </si>
  <si>
    <r>
      <t>ALL</t>
    </r>
    <r>
      <rPr>
        <b/>
        <sz val="10"/>
        <rFont val="Arial Narrow"/>
        <family val="2"/>
      </rPr>
      <t xml:space="preserve"> Beef Crumbles, </t>
    </r>
    <r>
      <rPr>
        <b/>
        <i/>
        <sz val="10"/>
        <color indexed="12"/>
        <rFont val="Arial Narrow"/>
        <family val="2"/>
      </rPr>
      <t>Reduced Sodium</t>
    </r>
    <r>
      <rPr>
        <b/>
        <i/>
        <sz val="10"/>
        <rFont val="Arial Narrow"/>
        <family val="2"/>
      </rPr>
      <t xml:space="preserve"> - Servings are approx. and within (+) (-) 5%</t>
    </r>
  </si>
  <si>
    <t>C10300- IW</t>
  </si>
  <si>
    <t xml:space="preserve">C10200- IW  </t>
  </si>
  <si>
    <t>C13400- IW</t>
  </si>
  <si>
    <t>C70303- Bulk</t>
  </si>
  <si>
    <t xml:space="preserve">Turkey Breast &amp; Cheese Sandwich on a Whole Grain French Roll - IW   </t>
  </si>
  <si>
    <t>C36400- IW</t>
  </si>
  <si>
    <t>C35225B</t>
  </si>
  <si>
    <t>C36225B</t>
  </si>
  <si>
    <t>C37225B</t>
  </si>
  <si>
    <t>C38000B</t>
  </si>
  <si>
    <t>C39120B</t>
  </si>
  <si>
    <t>C17200B</t>
  </si>
  <si>
    <t>C19200B</t>
  </si>
  <si>
    <t>Beef:  26.77 lbs.</t>
  </si>
  <si>
    <t>Beef:  26.74 lbs.</t>
  </si>
  <si>
    <t>Beef:  26.79 lbs.</t>
  </si>
  <si>
    <t>Beef:  54.38 lbs.</t>
  </si>
  <si>
    <t xml:space="preserve">2 M/MA                                                                                                                     </t>
  </si>
  <si>
    <t xml:space="preserve">2 M/MA                                                                                                                       </t>
  </si>
  <si>
    <r>
      <rPr>
        <b/>
        <i/>
        <sz val="10"/>
        <color indexed="10"/>
        <rFont val="Arial Narrow"/>
        <family val="2"/>
      </rPr>
      <t xml:space="preserve">Without </t>
    </r>
    <r>
      <rPr>
        <b/>
        <i/>
        <sz val="10"/>
        <color indexed="12"/>
        <rFont val="Arial Narrow"/>
        <family val="2"/>
      </rPr>
      <t xml:space="preserve">foil wrappers   </t>
    </r>
    <r>
      <rPr>
        <sz val="8"/>
        <rFont val="Arial Narrow"/>
        <family val="2"/>
      </rPr>
      <t xml:space="preserve">   2.75 M/MA                                                    </t>
    </r>
  </si>
  <si>
    <t xml:space="preserve">2.75 M/MA                                                                                                                          </t>
  </si>
  <si>
    <r>
      <t xml:space="preserve">2.25 M/MA                                                                  </t>
    </r>
    <r>
      <rPr>
        <b/>
        <i/>
        <sz val="10"/>
        <color indexed="12"/>
        <rFont val="Arial Narrow"/>
        <family val="2"/>
      </rPr>
      <t xml:space="preserve">  </t>
    </r>
    <r>
      <rPr>
        <sz val="8"/>
        <rFont val="Arial Narrow"/>
        <family val="2"/>
      </rPr>
      <t xml:space="preserve">                                                  </t>
    </r>
  </si>
  <si>
    <r>
      <rPr>
        <sz val="8"/>
        <rFont val="Arial Narrow"/>
        <family val="2"/>
      </rPr>
      <t xml:space="preserve">1.20 oz. Serving = 1 M/MA </t>
    </r>
    <r>
      <rPr>
        <i/>
        <sz val="8"/>
        <rFont val="Arial Narrow"/>
        <family val="2"/>
      </rPr>
      <t xml:space="preserve"> (4/10# Bags - Approx. 533 servings)</t>
    </r>
  </si>
  <si>
    <t>1 M/MA</t>
  </si>
  <si>
    <t>Beef:  24.82 lbs.</t>
  </si>
  <si>
    <t>Beef:  51.86 lbs.</t>
  </si>
  <si>
    <t>Beef:  51.43 lbs.</t>
  </si>
  <si>
    <r>
      <rPr>
        <sz val="8"/>
        <rFont val="Arial Narrow"/>
        <family val="2"/>
      </rPr>
      <t xml:space="preserve">3 pcs per serving= 2 M/MA </t>
    </r>
    <r>
      <rPr>
        <i/>
        <sz val="8"/>
        <rFont val="Arial Narrow"/>
        <family val="2"/>
      </rPr>
      <t>(2/20# Bags- Approx. 318 servings)</t>
    </r>
  </si>
  <si>
    <r>
      <rPr>
        <sz val="8"/>
        <rFont val="Arial Narrow"/>
        <family val="2"/>
      </rPr>
      <t xml:space="preserve">3 pcs per serving= 2 M/MA </t>
    </r>
    <r>
      <rPr>
        <i/>
        <sz val="8"/>
        <rFont val="Arial Narrow"/>
        <family val="2"/>
      </rPr>
      <t>(2/20# Bags -Approx. 318 servings)</t>
    </r>
  </si>
  <si>
    <r>
      <t xml:space="preserve">      </t>
    </r>
    <r>
      <rPr>
        <b/>
        <sz val="18"/>
        <rFont val="Arial Narrow"/>
        <family val="2"/>
      </rPr>
      <t>Commodity Calculator 2017-2018 SY</t>
    </r>
  </si>
  <si>
    <t xml:space="preserve">Ranch Style Seasoned Beef Patty (All Beef)  </t>
  </si>
  <si>
    <t xml:space="preserve">Smokey BBQ Seasoned Beef Patty (All Beef)   </t>
  </si>
  <si>
    <r>
      <t xml:space="preserve">Sriracha Seasoned Beef Patty (All Beef) </t>
    </r>
    <r>
      <rPr>
        <b/>
        <i/>
        <sz val="10"/>
        <color indexed="12"/>
        <rFont val="Arial Narrow"/>
        <family val="2"/>
      </rPr>
      <t xml:space="preserve"> </t>
    </r>
  </si>
  <si>
    <t xml:space="preserve">Chorizo Style Seasoned Beef Crumble  </t>
  </si>
  <si>
    <t xml:space="preserve">Breakfast Maple Seasoned Beef Patty   </t>
  </si>
  <si>
    <r>
      <t xml:space="preserve">Sriracha Seasoned Beef Meatball (0.67 oz) </t>
    </r>
    <r>
      <rPr>
        <b/>
        <i/>
        <sz val="10"/>
        <color indexed="12"/>
        <rFont val="Arial Narrow"/>
        <family val="2"/>
      </rPr>
      <t xml:space="preserve"> </t>
    </r>
  </si>
  <si>
    <r>
      <rPr>
        <b/>
        <i/>
        <sz val="14"/>
        <color indexed="12"/>
        <rFont val="Arial"/>
        <family val="2"/>
      </rPr>
      <t xml:space="preserve">NEW </t>
    </r>
    <r>
      <rPr>
        <b/>
        <sz val="14"/>
        <rFont val="Arial"/>
        <family val="2"/>
      </rPr>
      <t>Beef Items</t>
    </r>
  </si>
  <si>
    <t>Estimated Annual Total Lbs. Needed Page 4</t>
  </si>
  <si>
    <t>Estimated Annual Total lbs needed page 4</t>
  </si>
  <si>
    <t>Beef Items</t>
  </si>
  <si>
    <t>C45019- IW</t>
  </si>
  <si>
    <t>Proc Chs: 7.50 lbs.</t>
  </si>
  <si>
    <t xml:space="preserve">2 oz. Equiv. Grain, 2 M/MA                                                                                                                           </t>
  </si>
  <si>
    <t>2 M/MA                                                                                                                                                          Beef:  24.32 lbs.</t>
  </si>
  <si>
    <t>C14001</t>
  </si>
  <si>
    <t>Submarine Sandwich on a Whole Grain French Roll - IW</t>
  </si>
  <si>
    <t>C16008</t>
  </si>
  <si>
    <t xml:space="preserve">Turkey Breast &amp; Cheese Sandwich on a Whole Grain Knot Roll - IW   </t>
  </si>
  <si>
    <t>Proc Chs: 1.50 lbs.</t>
  </si>
  <si>
    <r>
      <t>Grilled Cheese Sandwiches</t>
    </r>
    <r>
      <rPr>
        <b/>
        <i/>
        <sz val="12"/>
        <rFont val="Arial Narrow"/>
        <family val="2"/>
      </rPr>
      <t xml:space="preserve"> (made with Reduced Sodium, Reduced Fat American Cheese)</t>
    </r>
  </si>
  <si>
    <t>C22148</t>
  </si>
  <si>
    <t xml:space="preserve">Turkey Ham &amp; Cheese Deli Flatz - IW   </t>
  </si>
  <si>
    <t>C22348</t>
  </si>
  <si>
    <t xml:space="preserve">Turkey Breast &amp; Cheese Deli Flatz - IW   </t>
  </si>
  <si>
    <t xml:space="preserve">Three Cheese Corn Enchilada, Bulk    </t>
  </si>
  <si>
    <t xml:space="preserve">Chicken Little Sliders on Whole Grain Buns - IW   </t>
  </si>
  <si>
    <t xml:space="preserve">Turkey Ham, Egg &amp; Cheese Sunrise Twist on a Whole Grain Knot Roll - IW                   </t>
  </si>
  <si>
    <t>are "special order" and require 14 day lead time with forecast.</t>
  </si>
  <si>
    <t>***C70502- Bulk</t>
  </si>
  <si>
    <t>***C70503- Bulk</t>
  </si>
  <si>
    <t>***C36410- Bulk</t>
  </si>
  <si>
    <t>***C44019-Bulk</t>
  </si>
  <si>
    <r>
      <t xml:space="preserve">Zesty Italian Beef Meatball (0.67 oz) </t>
    </r>
    <r>
      <rPr>
        <b/>
        <i/>
        <sz val="10"/>
        <color indexed="12"/>
        <rFont val="Arial Narrow"/>
        <family val="2"/>
      </rPr>
      <t xml:space="preserve"> </t>
    </r>
  </si>
  <si>
    <t>***Highlighted items</t>
  </si>
  <si>
    <t>PLEASE FILL IN THE HIGHLIGHTED BLUE CELL "ESTIMATED SERVINGS REQUIRED"  Your required servings will automatically be converted into cases</t>
  </si>
  <si>
    <r>
      <rPr>
        <b/>
        <sz val="12"/>
        <rFont val="Arial Narrow"/>
        <family val="2"/>
      </rPr>
      <t>USDA#</t>
    </r>
    <r>
      <rPr>
        <b/>
        <i/>
        <sz val="12"/>
        <color indexed="10"/>
        <rFont val="Arial Narrow"/>
        <family val="2"/>
      </rPr>
      <t xml:space="preserve"> </t>
    </r>
    <r>
      <rPr>
        <b/>
        <sz val="12"/>
        <rFont val="Arial Narrow"/>
        <family val="2"/>
      </rPr>
      <t>100036</t>
    </r>
  </si>
  <si>
    <r>
      <rPr>
        <b/>
        <sz val="12"/>
        <rFont val="Arial Narrow"/>
        <family val="2"/>
      </rPr>
      <t>USDA#</t>
    </r>
    <r>
      <rPr>
        <b/>
        <i/>
        <sz val="12"/>
        <color indexed="10"/>
        <rFont val="Arial Narrow"/>
        <family val="2"/>
      </rPr>
      <t xml:space="preserve"> </t>
    </r>
    <r>
      <rPr>
        <b/>
        <sz val="12"/>
        <rFont val="Arial Narrow"/>
        <family val="2"/>
      </rPr>
      <t>110244</t>
    </r>
  </si>
  <si>
    <r>
      <t>USDA#</t>
    </r>
    <r>
      <rPr>
        <b/>
        <i/>
        <sz val="12"/>
        <color indexed="10"/>
        <rFont val="Arial Narrow"/>
        <family val="2"/>
      </rPr>
      <t xml:space="preserve"> </t>
    </r>
    <r>
      <rPr>
        <b/>
        <sz val="12"/>
        <rFont val="Arial Narrow"/>
        <family val="2"/>
      </rPr>
      <t>100154</t>
    </r>
  </si>
  <si>
    <t>Beef: 10.97 lbs.</t>
  </si>
  <si>
    <t>C34225B</t>
  </si>
  <si>
    <t>Beef: 21.65 lbs.</t>
  </si>
  <si>
    <t>C34225B-BQ</t>
  </si>
  <si>
    <t xml:space="preserve">2.02 oz. Serving = 2.00 M/MA                      (4/10# bags)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</si>
</sst>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[$-409]dddd\,\ mmmm\ dd\,\ yyyy"/>
    <numFmt numFmtId="170" formatCode="m/d/yy;@"/>
    <numFmt numFmtId="171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2"/>
      <name val="Arial Narrow"/>
      <family val="2"/>
    </font>
    <font>
      <b/>
      <sz val="11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i/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color indexed="12"/>
      <name val="Arial Narrow"/>
      <family val="2"/>
    </font>
    <font>
      <b/>
      <i/>
      <sz val="10"/>
      <color indexed="12"/>
      <name val="Arial Narrow"/>
      <family val="2"/>
    </font>
    <font>
      <b/>
      <sz val="16"/>
      <name val="Arial Narrow"/>
      <family val="2"/>
    </font>
    <font>
      <b/>
      <sz val="18"/>
      <name val="Arial Narrow"/>
      <family val="2"/>
    </font>
    <font>
      <b/>
      <i/>
      <sz val="12"/>
      <color indexed="10"/>
      <name val="Arial Narrow"/>
      <family val="2"/>
    </font>
    <font>
      <sz val="11"/>
      <name val="Arial Narrow"/>
      <family val="2"/>
    </font>
    <font>
      <b/>
      <i/>
      <sz val="12"/>
      <name val="Arial Narrow"/>
      <family val="2"/>
    </font>
    <font>
      <b/>
      <sz val="14"/>
      <name val="Arial"/>
      <family val="2"/>
    </font>
    <font>
      <b/>
      <sz val="11"/>
      <name val="Arial Narrow"/>
      <family val="2"/>
    </font>
    <font>
      <b/>
      <i/>
      <sz val="14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Narrow"/>
      <family val="2"/>
    </font>
    <font>
      <b/>
      <i/>
      <sz val="12"/>
      <color rgb="FFFF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170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vertical="center"/>
      <protection locked="0"/>
    </xf>
    <xf numFmtId="170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/>
      <protection locked="0"/>
    </xf>
    <xf numFmtId="170" fontId="4" fillId="0" borderId="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Alignment="1" applyProtection="1">
      <alignment horizontal="center"/>
      <protection locked="0"/>
    </xf>
    <xf numFmtId="170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3" fontId="6" fillId="0" borderId="0" xfId="0" applyNumberFormat="1" applyFont="1" applyAlignment="1" applyProtection="1">
      <alignment/>
      <protection locked="0"/>
    </xf>
    <xf numFmtId="0" fontId="9" fillId="33" borderId="10" xfId="0" applyFont="1" applyFill="1" applyBorder="1" applyAlignment="1" applyProtection="1">
      <alignment horizontal="right" vertical="center"/>
      <protection/>
    </xf>
    <xf numFmtId="0" fontId="10" fillId="33" borderId="11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170" fontId="12" fillId="0" borderId="0" xfId="0" applyNumberFormat="1" applyFont="1" applyAlignment="1" applyProtection="1">
      <alignment/>
      <protection locked="0"/>
    </xf>
    <xf numFmtId="2" fontId="4" fillId="0" borderId="0" xfId="0" applyNumberFormat="1" applyFont="1" applyAlignment="1" applyProtection="1">
      <alignment vertical="center"/>
      <protection locked="0"/>
    </xf>
    <xf numFmtId="0" fontId="5" fillId="34" borderId="0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/>
      <protection/>
    </xf>
    <xf numFmtId="0" fontId="13" fillId="34" borderId="0" xfId="0" applyFont="1" applyFill="1" applyBorder="1" applyAlignment="1" applyProtection="1">
      <alignment horizontal="center"/>
      <protection/>
    </xf>
    <xf numFmtId="0" fontId="12" fillId="34" borderId="0" xfId="0" applyFont="1" applyFill="1" applyAlignment="1" applyProtection="1">
      <alignment/>
      <protection locked="0"/>
    </xf>
    <xf numFmtId="170" fontId="12" fillId="34" borderId="0" xfId="0" applyNumberFormat="1" applyFont="1" applyFill="1" applyAlignment="1" applyProtection="1">
      <alignment/>
      <protection locked="0"/>
    </xf>
    <xf numFmtId="0" fontId="13" fillId="35" borderId="12" xfId="0" applyFont="1" applyFill="1" applyBorder="1" applyAlignment="1" applyProtection="1">
      <alignment horizontal="center"/>
      <protection/>
    </xf>
    <xf numFmtId="0" fontId="13" fillId="35" borderId="13" xfId="0" applyFont="1" applyFill="1" applyBorder="1" applyAlignment="1" applyProtection="1">
      <alignment horizontal="center"/>
      <protection/>
    </xf>
    <xf numFmtId="0" fontId="13" fillId="35" borderId="14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4" fontId="4" fillId="0" borderId="16" xfId="0" applyNumberFormat="1" applyFont="1" applyBorder="1" applyAlignment="1" applyProtection="1">
      <alignment horizontal="center" vertical="center" shrinkToFit="1"/>
      <protection/>
    </xf>
    <xf numFmtId="4" fontId="5" fillId="0" borderId="17" xfId="0" applyNumberFormat="1" applyFont="1" applyBorder="1" applyAlignment="1" applyProtection="1">
      <alignment horizontal="center" shrinkToFit="1"/>
      <protection/>
    </xf>
    <xf numFmtId="4" fontId="4" fillId="0" borderId="18" xfId="0" applyNumberFormat="1" applyFont="1" applyFill="1" applyBorder="1" applyAlignment="1" applyProtection="1">
      <alignment horizontal="center" vertical="center" shrinkToFit="1"/>
      <protection/>
    </xf>
    <xf numFmtId="4" fontId="4" fillId="0" borderId="19" xfId="0" applyNumberFormat="1" applyFont="1" applyFill="1" applyBorder="1" applyAlignment="1" applyProtection="1">
      <alignment horizontal="center" vertical="center" shrinkToFit="1"/>
      <protection/>
    </xf>
    <xf numFmtId="4" fontId="4" fillId="0" borderId="20" xfId="0" applyNumberFormat="1" applyFont="1" applyBorder="1" applyAlignment="1" applyProtection="1">
      <alignment horizontal="center" vertical="center" shrinkToFit="1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170" fontId="4" fillId="0" borderId="0" xfId="0" applyNumberFormat="1" applyFont="1" applyBorder="1" applyAlignment="1" applyProtection="1">
      <alignment horizontal="center" vertical="center"/>
      <protection locked="0"/>
    </xf>
    <xf numFmtId="4" fontId="4" fillId="0" borderId="0" xfId="0" applyNumberFormat="1" applyFont="1" applyBorder="1" applyAlignment="1" applyProtection="1">
      <alignment horizontal="center" vertical="center"/>
      <protection locked="0"/>
    </xf>
    <xf numFmtId="4" fontId="5" fillId="0" borderId="21" xfId="0" applyNumberFormat="1" applyFont="1" applyBorder="1" applyAlignment="1" applyProtection="1">
      <alignment horizontal="center" shrinkToFit="1"/>
      <protection/>
    </xf>
    <xf numFmtId="170" fontId="5" fillId="0" borderId="0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Border="1" applyAlignment="1" applyProtection="1">
      <alignment horizontal="center"/>
      <protection locked="0"/>
    </xf>
    <xf numFmtId="4" fontId="4" fillId="0" borderId="14" xfId="0" applyNumberFormat="1" applyFont="1" applyBorder="1" applyAlignment="1" applyProtection="1">
      <alignment horizontal="center" vertical="center" shrinkToFit="1"/>
      <protection/>
    </xf>
    <xf numFmtId="4" fontId="4" fillId="0" borderId="22" xfId="0" applyNumberFormat="1" applyFont="1" applyBorder="1" applyAlignment="1" applyProtection="1">
      <alignment horizontal="center" vertical="center" shrinkToFit="1"/>
      <protection/>
    </xf>
    <xf numFmtId="4" fontId="4" fillId="0" borderId="23" xfId="0" applyNumberFormat="1" applyFont="1" applyBorder="1" applyAlignment="1" applyProtection="1">
      <alignment horizontal="center" vertical="center"/>
      <protection/>
    </xf>
    <xf numFmtId="4" fontId="4" fillId="0" borderId="0" xfId="0" applyNumberFormat="1" applyFont="1" applyAlignment="1" applyProtection="1">
      <alignment horizontal="center" vertical="center"/>
      <protection locked="0"/>
    </xf>
    <xf numFmtId="4" fontId="8" fillId="0" borderId="24" xfId="0" applyNumberFormat="1" applyFont="1" applyBorder="1" applyAlignment="1" applyProtection="1">
      <alignment horizontal="center" vertical="center" shrinkToFit="1"/>
      <protection/>
    </xf>
    <xf numFmtId="4" fontId="8" fillId="0" borderId="25" xfId="0" applyNumberFormat="1" applyFont="1" applyBorder="1" applyAlignment="1" applyProtection="1">
      <alignment horizontal="center" vertical="center" shrinkToFit="1"/>
      <protection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9" fillId="33" borderId="11" xfId="0" applyFont="1" applyFill="1" applyBorder="1" applyAlignment="1" applyProtection="1">
      <alignment horizontal="left" vertical="center"/>
      <protection/>
    </xf>
    <xf numFmtId="0" fontId="9" fillId="33" borderId="26" xfId="0" applyFont="1" applyFill="1" applyBorder="1" applyAlignment="1" applyProtection="1">
      <alignment vertical="center"/>
      <protection/>
    </xf>
    <xf numFmtId="0" fontId="9" fillId="33" borderId="11" xfId="0" applyFont="1" applyFill="1" applyBorder="1" applyAlignment="1" applyProtection="1">
      <alignment vertical="center"/>
      <protection/>
    </xf>
    <xf numFmtId="0" fontId="13" fillId="35" borderId="13" xfId="0" applyFont="1" applyFill="1" applyBorder="1" applyAlignment="1" applyProtection="1">
      <alignment horizontal="right"/>
      <protection/>
    </xf>
    <xf numFmtId="0" fontId="5" fillId="34" borderId="0" xfId="0" applyFont="1" applyFill="1" applyBorder="1" applyAlignment="1" applyProtection="1">
      <alignment horizontal="right"/>
      <protection/>
    </xf>
    <xf numFmtId="0" fontId="9" fillId="33" borderId="27" xfId="0" applyFont="1" applyFill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/>
      <protection locked="0"/>
    </xf>
    <xf numFmtId="0" fontId="9" fillId="36" borderId="11" xfId="0" applyFont="1" applyFill="1" applyBorder="1" applyAlignment="1" applyProtection="1">
      <alignment vertical="center"/>
      <protection/>
    </xf>
    <xf numFmtId="0" fontId="22" fillId="34" borderId="0" xfId="0" applyFont="1" applyFill="1" applyBorder="1" applyAlignment="1" applyProtection="1">
      <alignment horizontal="right"/>
      <protection/>
    </xf>
    <xf numFmtId="14" fontId="5" fillId="36" borderId="21" xfId="0" applyNumberFormat="1" applyFont="1" applyFill="1" applyBorder="1" applyAlignment="1" applyProtection="1">
      <alignment horizontal="center"/>
      <protection/>
    </xf>
    <xf numFmtId="4" fontId="4" fillId="0" borderId="28" xfId="0" applyNumberFormat="1" applyFont="1" applyBorder="1" applyAlignment="1" applyProtection="1">
      <alignment horizontal="center" vertical="center" shrinkToFit="1"/>
      <protection/>
    </xf>
    <xf numFmtId="0" fontId="5" fillId="0" borderId="15" xfId="0" applyFont="1" applyFill="1" applyBorder="1" applyAlignment="1" applyProtection="1">
      <alignment horizontal="center" vertical="distributed"/>
      <protection/>
    </xf>
    <xf numFmtId="0" fontId="5" fillId="0" borderId="29" xfId="0" applyFont="1" applyFill="1" applyBorder="1" applyAlignment="1" applyProtection="1">
      <alignment horizontal="center" vertical="distributed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37" borderId="32" xfId="0" applyFont="1" applyFill="1" applyBorder="1" applyAlignment="1" applyProtection="1">
      <alignment vertical="center"/>
      <protection/>
    </xf>
    <xf numFmtId="0" fontId="5" fillId="37" borderId="29" xfId="0" applyFont="1" applyFill="1" applyBorder="1" applyAlignment="1" applyProtection="1">
      <alignment vertical="center"/>
      <protection/>
    </xf>
    <xf numFmtId="0" fontId="5" fillId="37" borderId="29" xfId="0" applyFont="1" applyFill="1" applyBorder="1" applyAlignment="1" applyProtection="1">
      <alignment horizontal="center" vertical="distributed"/>
      <protection/>
    </xf>
    <xf numFmtId="0" fontId="19" fillId="0" borderId="33" xfId="0" applyFont="1" applyBorder="1" applyAlignment="1" applyProtection="1">
      <alignment vertical="center"/>
      <protection/>
    </xf>
    <xf numFmtId="0" fontId="19" fillId="0" borderId="34" xfId="0" applyFont="1" applyBorder="1" applyAlignment="1" applyProtection="1">
      <alignment horizontal="right" vertical="center"/>
      <protection/>
    </xf>
    <xf numFmtId="4" fontId="4" fillId="0" borderId="35" xfId="0" applyNumberFormat="1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left" vertical="center"/>
      <protection/>
    </xf>
    <xf numFmtId="0" fontId="13" fillId="37" borderId="34" xfId="0" applyFont="1" applyFill="1" applyBorder="1" applyAlignment="1" applyProtection="1">
      <alignment vertical="center"/>
      <protection/>
    </xf>
    <xf numFmtId="0" fontId="59" fillId="34" borderId="0" xfId="0" applyFont="1" applyFill="1" applyBorder="1" applyAlignment="1" applyProtection="1">
      <alignment horizontal="left" indent="15"/>
      <protection/>
    </xf>
    <xf numFmtId="3" fontId="5" fillId="33" borderId="16" xfId="0" applyNumberFormat="1" applyFont="1" applyFill="1" applyBorder="1" applyAlignment="1" applyProtection="1">
      <alignment horizontal="center" vertical="center"/>
      <protection locked="0"/>
    </xf>
    <xf numFmtId="3" fontId="5" fillId="33" borderId="28" xfId="0" applyNumberFormat="1" applyFont="1" applyFill="1" applyBorder="1" applyAlignment="1" applyProtection="1">
      <alignment horizontal="center" vertical="center"/>
      <protection locked="0"/>
    </xf>
    <xf numFmtId="3" fontId="5" fillId="33" borderId="36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4" fontId="4" fillId="0" borderId="36" xfId="0" applyNumberFormat="1" applyFont="1" applyBorder="1" applyAlignment="1" applyProtection="1">
      <alignment horizontal="center" vertical="center" shrinkToFit="1"/>
      <protection/>
    </xf>
    <xf numFmtId="4" fontId="4" fillId="0" borderId="28" xfId="0" applyNumberFormat="1" applyFont="1" applyBorder="1" applyAlignment="1" applyProtection="1">
      <alignment horizontal="center" vertical="center" shrinkToFit="1"/>
      <protection/>
    </xf>
    <xf numFmtId="4" fontId="4" fillId="0" borderId="18" xfId="0" applyNumberFormat="1" applyFont="1" applyFill="1" applyBorder="1" applyAlignment="1" applyProtection="1">
      <alignment horizontal="center" vertical="center" shrinkToFit="1"/>
      <protection/>
    </xf>
    <xf numFmtId="4" fontId="4" fillId="0" borderId="37" xfId="0" applyNumberFormat="1" applyFont="1" applyFill="1" applyBorder="1" applyAlignment="1" applyProtection="1">
      <alignment horizontal="center" vertical="center" shrinkToFit="1"/>
      <protection/>
    </xf>
    <xf numFmtId="4" fontId="4" fillId="0" borderId="19" xfId="0" applyNumberFormat="1" applyFont="1" applyFill="1" applyBorder="1" applyAlignment="1" applyProtection="1">
      <alignment horizontal="center" vertical="center" shrinkToFit="1"/>
      <protection/>
    </xf>
    <xf numFmtId="4" fontId="4" fillId="0" borderId="36" xfId="0" applyNumberFormat="1" applyFont="1" applyBorder="1" applyAlignment="1" applyProtection="1">
      <alignment horizontal="center" vertical="center"/>
      <protection/>
    </xf>
    <xf numFmtId="4" fontId="4" fillId="0" borderId="28" xfId="0" applyNumberFormat="1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left" vertical="center"/>
      <protection/>
    </xf>
    <xf numFmtId="0" fontId="5" fillId="0" borderId="39" xfId="0" applyFont="1" applyBorder="1" applyAlignment="1" applyProtection="1">
      <alignment horizontal="left" vertical="center"/>
      <protection/>
    </xf>
    <xf numFmtId="14" fontId="5" fillId="36" borderId="40" xfId="0" applyNumberFormat="1" applyFont="1" applyFill="1" applyBorder="1" applyAlignment="1" applyProtection="1">
      <alignment horizontal="center"/>
      <protection/>
    </xf>
    <xf numFmtId="0" fontId="5" fillId="36" borderId="25" xfId="0" applyFont="1" applyFill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42" xfId="0" applyFont="1" applyBorder="1" applyAlignment="1" applyProtection="1">
      <alignment horizontal="center" vertical="center" wrapText="1"/>
      <protection/>
    </xf>
    <xf numFmtId="3" fontId="5" fillId="0" borderId="16" xfId="0" applyNumberFormat="1" applyFont="1" applyFill="1" applyBorder="1" applyAlignment="1" applyProtection="1">
      <alignment horizontal="center" vertical="center"/>
      <protection/>
    </xf>
    <xf numFmtId="3" fontId="5" fillId="0" borderId="28" xfId="0" applyNumberFormat="1" applyFont="1" applyFill="1" applyBorder="1" applyAlignment="1" applyProtection="1">
      <alignment horizontal="center" vertical="center"/>
      <protection/>
    </xf>
    <xf numFmtId="4" fontId="4" fillId="0" borderId="16" xfId="0" applyNumberFormat="1" applyFont="1" applyBorder="1" applyAlignment="1" applyProtection="1">
      <alignment horizontal="center" vertical="center" shrinkToFit="1"/>
      <protection/>
    </xf>
    <xf numFmtId="0" fontId="24" fillId="0" borderId="40" xfId="0" applyFont="1" applyBorder="1" applyAlignment="1" applyProtection="1">
      <alignment horizontal="left" vertical="center"/>
      <protection/>
    </xf>
    <xf numFmtId="0" fontId="24" fillId="0" borderId="43" xfId="0" applyFont="1" applyBorder="1" applyAlignment="1" applyProtection="1">
      <alignment horizontal="left" vertical="center"/>
      <protection/>
    </xf>
    <xf numFmtId="0" fontId="24" fillId="0" borderId="25" xfId="0" applyFont="1" applyBorder="1" applyAlignment="1" applyProtection="1">
      <alignment horizontal="left" vertical="center"/>
      <protection/>
    </xf>
    <xf numFmtId="0" fontId="3" fillId="35" borderId="40" xfId="0" applyFont="1" applyFill="1" applyBorder="1" applyAlignment="1" applyProtection="1">
      <alignment horizontal="center"/>
      <protection/>
    </xf>
    <xf numFmtId="0" fontId="3" fillId="35" borderId="43" xfId="0" applyFont="1" applyFill="1" applyBorder="1" applyAlignment="1" applyProtection="1">
      <alignment horizontal="center"/>
      <protection/>
    </xf>
    <xf numFmtId="0" fontId="3" fillId="35" borderId="25" xfId="0" applyFont="1" applyFill="1" applyBorder="1" applyAlignment="1" applyProtection="1">
      <alignment horizontal="center"/>
      <protection/>
    </xf>
    <xf numFmtId="0" fontId="13" fillId="0" borderId="38" xfId="0" applyFont="1" applyBorder="1" applyAlignment="1" applyProtection="1">
      <alignment horizontal="left" vertical="center"/>
      <protection/>
    </xf>
    <xf numFmtId="0" fontId="13" fillId="0" borderId="39" xfId="0" applyFont="1" applyBorder="1" applyAlignment="1" applyProtection="1">
      <alignment horizontal="left" vertical="center"/>
      <protection/>
    </xf>
    <xf numFmtId="0" fontId="9" fillId="0" borderId="36" xfId="0" applyFont="1" applyBorder="1" applyAlignment="1" applyProtection="1">
      <alignment horizontal="distributed" vertical="distributed" wrapText="1"/>
      <protection/>
    </xf>
    <xf numFmtId="0" fontId="9" fillId="0" borderId="28" xfId="0" applyFont="1" applyBorder="1" applyAlignment="1" applyProtection="1">
      <alignment horizontal="distributed" vertical="distributed" wrapText="1"/>
      <protection/>
    </xf>
    <xf numFmtId="0" fontId="7" fillId="0" borderId="40" xfId="0" applyFont="1" applyBorder="1" applyAlignment="1" applyProtection="1">
      <alignment horizontal="right" vertical="center"/>
      <protection/>
    </xf>
    <xf numFmtId="0" fontId="7" fillId="0" borderId="43" xfId="0" applyFont="1" applyBorder="1" applyAlignment="1" applyProtection="1">
      <alignment horizontal="right" vertical="center"/>
      <protection/>
    </xf>
    <xf numFmtId="0" fontId="7" fillId="0" borderId="25" xfId="0" applyFont="1" applyBorder="1" applyAlignment="1" applyProtection="1">
      <alignment horizontal="right" vertical="center"/>
      <protection/>
    </xf>
    <xf numFmtId="0" fontId="5" fillId="0" borderId="44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45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19" fillId="0" borderId="44" xfId="0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46" xfId="0" applyFont="1" applyBorder="1" applyAlignment="1" applyProtection="1">
      <alignment horizontal="right" vertical="center"/>
      <protection/>
    </xf>
    <xf numFmtId="4" fontId="4" fillId="0" borderId="16" xfId="0" applyNumberFormat="1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48" xfId="0" applyFont="1" applyFill="1" applyBorder="1" applyAlignment="1" applyProtection="1">
      <alignment horizontal="center" vertical="center"/>
      <protection/>
    </xf>
    <xf numFmtId="0" fontId="21" fillId="0" borderId="40" xfId="0" applyFont="1" applyFill="1" applyBorder="1" applyAlignment="1" applyProtection="1">
      <alignment horizontal="left"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1" fillId="0" borderId="25" xfId="0" applyFont="1" applyFill="1" applyBorder="1" applyAlignment="1" applyProtection="1">
      <alignment horizontal="left" vertical="center"/>
      <protection/>
    </xf>
    <xf numFmtId="0" fontId="5" fillId="0" borderId="38" xfId="0" applyFont="1" applyFill="1" applyBorder="1" applyAlignment="1" applyProtection="1">
      <alignment horizontal="left" vertical="center"/>
      <protection/>
    </xf>
    <xf numFmtId="0" fontId="5" fillId="0" borderId="39" xfId="0" applyFont="1" applyFill="1" applyBorder="1" applyAlignment="1" applyProtection="1">
      <alignment horizontal="left" vertical="center"/>
      <protection/>
    </xf>
    <xf numFmtId="4" fontId="4" fillId="0" borderId="47" xfId="0" applyNumberFormat="1" applyFont="1" applyBorder="1" applyAlignment="1" applyProtection="1">
      <alignment horizontal="center" vertical="center" shrinkToFit="1"/>
      <protection/>
    </xf>
    <xf numFmtId="4" fontId="4" fillId="0" borderId="0" xfId="0" applyNumberFormat="1" applyFont="1" applyBorder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 horizontal="distributed" vertical="distributed" wrapText="1"/>
      <protection/>
    </xf>
    <xf numFmtId="0" fontId="4" fillId="0" borderId="28" xfId="0" applyFont="1" applyBorder="1" applyAlignment="1" applyProtection="1">
      <alignment horizontal="distributed" vertical="distributed" wrapText="1"/>
      <protection/>
    </xf>
    <xf numFmtId="0" fontId="4" fillId="0" borderId="36" xfId="0" applyFont="1" applyBorder="1" applyAlignment="1" applyProtection="1">
      <alignment horizontal="distributed" vertical="distributed" wrapText="1"/>
      <protection/>
    </xf>
    <xf numFmtId="0" fontId="14" fillId="0" borderId="38" xfId="0" applyFont="1" applyFill="1" applyBorder="1" applyAlignment="1" applyProtection="1">
      <alignment horizontal="left" vertical="center"/>
      <protection/>
    </xf>
    <xf numFmtId="4" fontId="5" fillId="0" borderId="18" xfId="0" applyNumberFormat="1" applyFont="1" applyBorder="1" applyAlignment="1" applyProtection="1">
      <alignment horizontal="center" vertical="center" wrapText="1"/>
      <protection/>
    </xf>
    <xf numFmtId="4" fontId="5" fillId="0" borderId="49" xfId="0" applyNumberFormat="1" applyFont="1" applyBorder="1" applyAlignment="1" applyProtection="1">
      <alignment horizontal="center" vertical="center" wrapText="1"/>
      <protection/>
    </xf>
    <xf numFmtId="4" fontId="4" fillId="0" borderId="50" xfId="0" applyNumberFormat="1" applyFont="1" applyFill="1" applyBorder="1" applyAlignment="1" applyProtection="1">
      <alignment horizontal="center" vertical="center" shrinkToFit="1"/>
      <protection/>
    </xf>
    <xf numFmtId="0" fontId="60" fillId="0" borderId="41" xfId="0" applyFont="1" applyBorder="1" applyAlignment="1" applyProtection="1">
      <alignment horizontal="center" vertical="center"/>
      <protection/>
    </xf>
    <xf numFmtId="0" fontId="60" fillId="0" borderId="16" xfId="0" applyFont="1" applyBorder="1" applyAlignment="1" applyProtection="1">
      <alignment horizontal="center" vertical="center"/>
      <protection/>
    </xf>
    <xf numFmtId="0" fontId="60" fillId="0" borderId="28" xfId="0" applyFont="1" applyBorder="1" applyAlignment="1" applyProtection="1">
      <alignment horizontal="center" vertical="center"/>
      <protection/>
    </xf>
    <xf numFmtId="4" fontId="5" fillId="0" borderId="36" xfId="0" applyNumberFormat="1" applyFont="1" applyBorder="1" applyAlignment="1" applyProtection="1">
      <alignment horizontal="center" vertical="center" wrapText="1"/>
      <protection/>
    </xf>
    <xf numFmtId="4" fontId="5" fillId="0" borderId="42" xfId="0" applyNumberFormat="1" applyFont="1" applyBorder="1" applyAlignment="1" applyProtection="1">
      <alignment horizontal="center" vertical="center" wrapText="1"/>
      <protection/>
    </xf>
    <xf numFmtId="0" fontId="5" fillId="0" borderId="51" xfId="0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center" vertical="center"/>
      <protection/>
    </xf>
    <xf numFmtId="0" fontId="5" fillId="0" borderId="53" xfId="0" applyFont="1" applyBorder="1" applyAlignment="1" applyProtection="1">
      <alignment horizontal="center" vertical="center"/>
      <protection/>
    </xf>
    <xf numFmtId="0" fontId="5" fillId="0" borderId="54" xfId="0" applyFont="1" applyBorder="1" applyAlignment="1" applyProtection="1">
      <alignment horizontal="center" vertical="center"/>
      <protection/>
    </xf>
    <xf numFmtId="0" fontId="5" fillId="0" borderId="55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6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7" fillId="0" borderId="40" xfId="0" applyFont="1" applyBorder="1" applyAlignment="1" applyProtection="1">
      <alignment horizontal="left" vertical="center"/>
      <protection/>
    </xf>
    <xf numFmtId="0" fontId="7" fillId="0" borderId="43" xfId="0" applyFont="1" applyBorder="1" applyAlignment="1" applyProtection="1">
      <alignment horizontal="left" vertical="center"/>
      <protection/>
    </xf>
    <xf numFmtId="0" fontId="7" fillId="0" borderId="25" xfId="0" applyFont="1" applyBorder="1" applyAlignment="1" applyProtection="1">
      <alignment horizontal="left" vertical="center"/>
      <protection/>
    </xf>
    <xf numFmtId="0" fontId="5" fillId="0" borderId="56" xfId="0" applyFont="1" applyBorder="1" applyAlignment="1" applyProtection="1">
      <alignment horizontal="left" vertical="center"/>
      <protection/>
    </xf>
    <xf numFmtId="0" fontId="5" fillId="0" borderId="46" xfId="0" applyFont="1" applyBorder="1" applyAlignment="1" applyProtection="1">
      <alignment horizontal="left" vertical="center"/>
      <protection/>
    </xf>
    <xf numFmtId="0" fontId="5" fillId="34" borderId="0" xfId="0" applyFont="1" applyFill="1" applyBorder="1" applyAlignment="1" applyProtection="1">
      <alignment horizontal="left"/>
      <protection/>
    </xf>
    <xf numFmtId="0" fontId="5" fillId="34" borderId="33" xfId="0" applyFont="1" applyFill="1" applyBorder="1" applyAlignment="1" applyProtection="1">
      <alignment horizontal="left"/>
      <protection/>
    </xf>
    <xf numFmtId="4" fontId="5" fillId="0" borderId="41" xfId="0" applyNumberFormat="1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horizontal="center" vertical="distributed"/>
      <protection/>
    </xf>
    <xf numFmtId="0" fontId="5" fillId="0" borderId="29" xfId="0" applyFont="1" applyFill="1" applyBorder="1" applyAlignment="1" applyProtection="1">
      <alignment horizontal="center" vertical="distributed"/>
      <protection/>
    </xf>
    <xf numFmtId="0" fontId="16" fillId="34" borderId="0" xfId="0" applyFont="1" applyFill="1" applyBorder="1" applyAlignment="1" applyProtection="1">
      <alignment horizontal="left" vertical="center"/>
      <protection/>
    </xf>
    <xf numFmtId="3" fontId="5" fillId="0" borderId="41" xfId="0" applyNumberFormat="1" applyFont="1" applyFill="1" applyBorder="1" applyAlignment="1" applyProtection="1">
      <alignment horizontal="center" vertical="center" wrapText="1"/>
      <protection/>
    </xf>
    <xf numFmtId="3" fontId="5" fillId="0" borderId="16" xfId="0" applyNumberFormat="1" applyFont="1" applyFill="1" applyBorder="1" applyAlignment="1" applyProtection="1">
      <alignment horizontal="center" vertical="center" wrapText="1"/>
      <protection/>
    </xf>
    <xf numFmtId="3" fontId="5" fillId="0" borderId="42" xfId="0" applyNumberFormat="1" applyFont="1" applyFill="1" applyBorder="1" applyAlignment="1" applyProtection="1">
      <alignment horizontal="center" vertical="center" wrapText="1"/>
      <protection/>
    </xf>
    <xf numFmtId="4" fontId="4" fillId="0" borderId="39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4" fontId="4" fillId="0" borderId="20" xfId="0" applyNumberFormat="1" applyFont="1" applyBorder="1" applyAlignment="1" applyProtection="1">
      <alignment horizontal="center" vertical="center" shrinkToFit="1"/>
      <protection/>
    </xf>
    <xf numFmtId="0" fontId="5" fillId="38" borderId="40" xfId="0" applyFont="1" applyFill="1" applyBorder="1" applyAlignment="1" applyProtection="1">
      <alignment horizontal="right"/>
      <protection/>
    </xf>
    <xf numFmtId="0" fontId="5" fillId="38" borderId="43" xfId="0" applyFont="1" applyFill="1" applyBorder="1" applyAlignment="1" applyProtection="1">
      <alignment horizontal="right"/>
      <protection/>
    </xf>
    <xf numFmtId="0" fontId="5" fillId="38" borderId="25" xfId="0" applyFont="1" applyFill="1" applyBorder="1" applyAlignment="1" applyProtection="1">
      <alignment horizontal="right"/>
      <protection/>
    </xf>
    <xf numFmtId="0" fontId="11" fillId="0" borderId="38" xfId="0" applyFont="1" applyFill="1" applyBorder="1" applyAlignment="1" applyProtection="1">
      <alignment horizontal="left" vertical="center"/>
      <protection/>
    </xf>
    <xf numFmtId="0" fontId="5" fillId="0" borderId="57" xfId="0" applyFont="1" applyBorder="1" applyAlignment="1" applyProtection="1">
      <alignment horizontal="center"/>
      <protection locked="0"/>
    </xf>
    <xf numFmtId="0" fontId="24" fillId="0" borderId="40" xfId="0" applyFont="1" applyFill="1" applyBorder="1" applyAlignment="1" applyProtection="1">
      <alignment horizontal="left" vertical="center"/>
      <protection/>
    </xf>
    <xf numFmtId="0" fontId="24" fillId="0" borderId="43" xfId="0" applyFont="1" applyFill="1" applyBorder="1" applyAlignment="1" applyProtection="1">
      <alignment horizontal="left" vertical="center"/>
      <protection/>
    </xf>
    <xf numFmtId="0" fontId="24" fillId="0" borderId="25" xfId="0" applyFont="1" applyFill="1" applyBorder="1" applyAlignment="1" applyProtection="1">
      <alignment horizontal="left" vertical="center"/>
      <protection/>
    </xf>
    <xf numFmtId="0" fontId="7" fillId="0" borderId="58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857250</xdr:colOff>
      <xdr:row>4</xdr:row>
      <xdr:rowOff>0</xdr:rowOff>
    </xdr:to>
    <xdr:pic>
      <xdr:nvPicPr>
        <xdr:cNvPr id="1" name="Picture 1" descr="Integrated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781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</xdr:row>
      <xdr:rowOff>28575</xdr:rowOff>
    </xdr:from>
    <xdr:to>
      <xdr:col>9</xdr:col>
      <xdr:colOff>933450</xdr:colOff>
      <xdr:row>6</xdr:row>
      <xdr:rowOff>142875</xdr:rowOff>
    </xdr:to>
    <xdr:pic>
      <xdr:nvPicPr>
        <xdr:cNvPr id="2" name="Picture 6" descr="Hot_Off_The_Grill T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600000">
          <a:off x="10191750" y="304800"/>
          <a:ext cx="466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9"/>
  <sheetViews>
    <sheetView showGridLines="0" tabSelected="1" zoomScaleSheetLayoutView="100" workbookViewId="0" topLeftCell="A1">
      <pane ySplit="12" topLeftCell="A86" activePane="bottomLeft" state="frozen"/>
      <selection pane="topLeft" activeCell="A1" sqref="A1"/>
      <selection pane="bottomLeft" activeCell="F120" sqref="F120:F121"/>
    </sheetView>
  </sheetViews>
  <sheetFormatPr defaultColWidth="9.140625" defaultRowHeight="12.75"/>
  <cols>
    <col min="1" max="1" width="13.8515625" style="12" customWidth="1"/>
    <col min="2" max="2" width="37.00390625" style="13" customWidth="1"/>
    <col min="3" max="3" width="29.7109375" style="57" customWidth="1"/>
    <col min="4" max="4" width="5.57421875" style="8" customWidth="1"/>
    <col min="5" max="5" width="5.7109375" style="14" bestFit="1" customWidth="1"/>
    <col min="6" max="6" width="10.140625" style="14" customWidth="1"/>
    <col min="7" max="7" width="8.00390625" style="15" customWidth="1"/>
    <col min="8" max="8" width="18.421875" style="8" customWidth="1"/>
    <col min="9" max="9" width="17.421875" style="8" customWidth="1"/>
    <col min="10" max="10" width="17.8515625" style="8" customWidth="1"/>
    <col min="11" max="11" width="6.8515625" style="8" customWidth="1"/>
    <col min="12" max="12" width="9.28125" style="9" customWidth="1"/>
    <col min="13" max="15" width="9.7109375" style="8" customWidth="1"/>
    <col min="16" max="16" width="10.00390625" style="8" customWidth="1"/>
    <col min="17" max="17" width="9.28125" style="8" bestFit="1" customWidth="1"/>
    <col min="18" max="16384" width="9.140625" style="1" customWidth="1"/>
  </cols>
  <sheetData>
    <row r="1" spans="1:12" s="19" customFormat="1" ht="7.5" customHeight="1">
      <c r="A1" s="28"/>
      <c r="B1" s="29"/>
      <c r="C1" s="54"/>
      <c r="D1" s="29"/>
      <c r="E1" s="29"/>
      <c r="F1" s="29"/>
      <c r="G1" s="29"/>
      <c r="H1" s="29"/>
      <c r="I1" s="29"/>
      <c r="J1" s="30"/>
      <c r="K1" s="20"/>
      <c r="L1" s="21"/>
    </row>
    <row r="2" spans="1:12" s="26" customFormat="1" ht="14.25" customHeight="1">
      <c r="A2" s="25"/>
      <c r="B2" s="75" t="s">
        <v>262</v>
      </c>
      <c r="D2" s="25"/>
      <c r="E2" s="25"/>
      <c r="F2" s="25"/>
      <c r="G2" s="25"/>
      <c r="H2" s="25"/>
      <c r="I2" s="25"/>
      <c r="J2" s="25"/>
      <c r="L2" s="27"/>
    </row>
    <row r="3" spans="1:17" ht="9.75" customHeight="1">
      <c r="A3" s="23"/>
      <c r="B3" s="1"/>
      <c r="C3" s="55"/>
      <c r="D3" s="24"/>
      <c r="E3" s="24"/>
      <c r="F3" s="24"/>
      <c r="G3" s="24"/>
      <c r="H3" s="24"/>
      <c r="I3" s="24"/>
      <c r="J3" s="23"/>
      <c r="K3" s="1"/>
      <c r="L3" s="2"/>
      <c r="M3" s="1"/>
      <c r="N3" s="1"/>
      <c r="O3" s="1"/>
      <c r="P3" s="1"/>
      <c r="Q3" s="1"/>
    </row>
    <row r="4" spans="1:17" ht="6.75" customHeight="1">
      <c r="A4" s="23"/>
      <c r="B4" s="24"/>
      <c r="C4" s="165" t="s">
        <v>227</v>
      </c>
      <c r="D4" s="165"/>
      <c r="E4" s="165"/>
      <c r="F4" s="165"/>
      <c r="G4" s="165"/>
      <c r="H4" s="165"/>
      <c r="I4" s="165"/>
      <c r="J4" s="23"/>
      <c r="K4" s="1"/>
      <c r="L4" s="2"/>
      <c r="M4" s="1"/>
      <c r="N4" s="1"/>
      <c r="O4" s="1"/>
      <c r="P4" s="1"/>
      <c r="Q4" s="1"/>
    </row>
    <row r="5" spans="1:17" ht="10.5" customHeight="1">
      <c r="A5" s="159" t="s">
        <v>47</v>
      </c>
      <c r="B5" s="159"/>
      <c r="C5" s="165"/>
      <c r="D5" s="165"/>
      <c r="E5" s="165"/>
      <c r="F5" s="165"/>
      <c r="G5" s="165"/>
      <c r="H5" s="165"/>
      <c r="I5" s="165"/>
      <c r="J5" s="23"/>
      <c r="K5" s="1"/>
      <c r="L5" s="2"/>
      <c r="M5" s="1"/>
      <c r="N5" s="1"/>
      <c r="O5" s="1"/>
      <c r="P5" s="1"/>
      <c r="Q5" s="1"/>
    </row>
    <row r="6" spans="1:17" ht="11.25" customHeight="1" thickBot="1">
      <c r="A6" s="159"/>
      <c r="B6" s="159"/>
      <c r="C6" s="165"/>
      <c r="D6" s="165"/>
      <c r="E6" s="165"/>
      <c r="F6" s="165"/>
      <c r="G6" s="165"/>
      <c r="H6" s="165"/>
      <c r="I6" s="165"/>
      <c r="J6" s="23"/>
      <c r="K6" s="1"/>
      <c r="L6" s="2"/>
      <c r="M6" s="1"/>
      <c r="N6" s="1"/>
      <c r="O6" s="1"/>
      <c r="P6" s="1"/>
      <c r="Q6" s="1"/>
    </row>
    <row r="7" spans="1:17" ht="15" customHeight="1" thickBot="1">
      <c r="A7" s="160" t="s">
        <v>37</v>
      </c>
      <c r="B7" s="160"/>
      <c r="C7" s="59" t="s">
        <v>192</v>
      </c>
      <c r="D7" s="55" t="s">
        <v>194</v>
      </c>
      <c r="E7" s="90">
        <v>42917</v>
      </c>
      <c r="F7" s="91"/>
      <c r="G7" s="55" t="s">
        <v>193</v>
      </c>
      <c r="H7" s="60">
        <v>43281</v>
      </c>
      <c r="I7" s="23"/>
      <c r="J7" s="23"/>
      <c r="K7" s="1"/>
      <c r="L7" s="2"/>
      <c r="M7" s="1"/>
      <c r="N7" s="1"/>
      <c r="O7" s="1"/>
      <c r="P7" s="1"/>
      <c r="Q7" s="1"/>
    </row>
    <row r="8" spans="1:12" s="3" customFormat="1" ht="6.75" customHeight="1">
      <c r="A8" s="145" t="s">
        <v>0</v>
      </c>
      <c r="B8" s="148" t="s">
        <v>12</v>
      </c>
      <c r="C8" s="149"/>
      <c r="D8" s="161" t="s">
        <v>26</v>
      </c>
      <c r="E8" s="95" t="s">
        <v>27</v>
      </c>
      <c r="F8" s="95" t="s">
        <v>191</v>
      </c>
      <c r="G8" s="166" t="s">
        <v>19</v>
      </c>
      <c r="H8" s="140" t="s">
        <v>263</v>
      </c>
      <c r="I8" s="140" t="s">
        <v>264</v>
      </c>
      <c r="J8" s="182" t="s">
        <v>265</v>
      </c>
      <c r="L8" s="4"/>
    </row>
    <row r="9" spans="1:17" ht="6.75" customHeight="1">
      <c r="A9" s="146"/>
      <c r="B9" s="150"/>
      <c r="C9" s="151"/>
      <c r="D9" s="162"/>
      <c r="E9" s="96"/>
      <c r="F9" s="96"/>
      <c r="G9" s="167"/>
      <c r="H9" s="141"/>
      <c r="I9" s="141"/>
      <c r="J9" s="183"/>
      <c r="K9" s="1"/>
      <c r="L9" s="2"/>
      <c r="M9" s="1"/>
      <c r="N9" s="1"/>
      <c r="O9" s="1"/>
      <c r="P9" s="1"/>
      <c r="Q9" s="1"/>
    </row>
    <row r="10" spans="1:17" ht="8.25" customHeight="1">
      <c r="A10" s="146"/>
      <c r="B10" s="150"/>
      <c r="C10" s="151"/>
      <c r="D10" s="162"/>
      <c r="E10" s="96"/>
      <c r="F10" s="96"/>
      <c r="G10" s="167"/>
      <c r="H10" s="142"/>
      <c r="I10" s="142"/>
      <c r="J10" s="184"/>
      <c r="K10" s="1"/>
      <c r="L10" s="2"/>
      <c r="M10" s="1"/>
      <c r="N10" s="1"/>
      <c r="O10" s="1"/>
      <c r="P10" s="1"/>
      <c r="Q10" s="1"/>
    </row>
    <row r="11" spans="1:17" ht="6.75" customHeight="1">
      <c r="A11" s="146"/>
      <c r="B11" s="150"/>
      <c r="C11" s="151"/>
      <c r="D11" s="162"/>
      <c r="E11" s="96"/>
      <c r="F11" s="96"/>
      <c r="G11" s="167"/>
      <c r="H11" s="143" t="s">
        <v>106</v>
      </c>
      <c r="I11" s="143" t="s">
        <v>107</v>
      </c>
      <c r="J11" s="137" t="s">
        <v>108</v>
      </c>
      <c r="K11" s="1"/>
      <c r="L11" s="2"/>
      <c r="M11" s="1"/>
      <c r="N11" s="1"/>
      <c r="O11" s="1"/>
      <c r="P11" s="1"/>
      <c r="Q11" s="1"/>
    </row>
    <row r="12" spans="1:17" ht="12.75" customHeight="1" thickBot="1">
      <c r="A12" s="147"/>
      <c r="B12" s="152"/>
      <c r="C12" s="153"/>
      <c r="D12" s="144"/>
      <c r="E12" s="97"/>
      <c r="F12" s="97"/>
      <c r="G12" s="168"/>
      <c r="H12" s="144"/>
      <c r="I12" s="144"/>
      <c r="J12" s="138"/>
      <c r="K12" s="1"/>
      <c r="L12" s="2"/>
      <c r="M12" s="1"/>
      <c r="N12" s="1"/>
      <c r="O12" s="1"/>
      <c r="P12" s="1"/>
      <c r="Q12" s="1"/>
    </row>
    <row r="13" spans="1:17" ht="13.5" customHeight="1" thickBot="1">
      <c r="A13" s="154" t="s">
        <v>247</v>
      </c>
      <c r="B13" s="155"/>
      <c r="C13" s="155"/>
      <c r="D13" s="155"/>
      <c r="E13" s="155"/>
      <c r="F13" s="155"/>
      <c r="G13" s="155"/>
      <c r="H13" s="155"/>
      <c r="I13" s="155"/>
      <c r="J13" s="156"/>
      <c r="K13" s="11"/>
      <c r="L13" s="6"/>
      <c r="M13" s="7"/>
      <c r="N13" s="1"/>
      <c r="O13" s="1"/>
      <c r="P13" s="1"/>
      <c r="Q13" s="1"/>
    </row>
    <row r="14" spans="1:12" s="3" customFormat="1" ht="11.25" customHeight="1">
      <c r="A14" s="65" t="s">
        <v>200</v>
      </c>
      <c r="B14" s="157" t="s">
        <v>76</v>
      </c>
      <c r="C14" s="158"/>
      <c r="D14" s="122">
        <v>4.19</v>
      </c>
      <c r="E14" s="94">
        <v>72</v>
      </c>
      <c r="F14" s="76"/>
      <c r="G14" s="98">
        <f>ROUNDUP(F14/E14,0)</f>
        <v>0</v>
      </c>
      <c r="H14" s="100">
        <f>G14*9</f>
        <v>0</v>
      </c>
      <c r="I14" s="100"/>
      <c r="J14" s="84"/>
      <c r="K14" s="18"/>
      <c r="L14"/>
    </row>
    <row r="15" spans="1:12" s="3" customFormat="1" ht="12.75" customHeight="1">
      <c r="A15" s="66" t="s">
        <v>201</v>
      </c>
      <c r="B15" s="53" t="s">
        <v>109</v>
      </c>
      <c r="C15" s="16" t="s">
        <v>131</v>
      </c>
      <c r="D15" s="87"/>
      <c r="E15" s="93"/>
      <c r="F15" s="77"/>
      <c r="G15" s="99"/>
      <c r="H15" s="82"/>
      <c r="I15" s="82"/>
      <c r="J15" s="85"/>
      <c r="K15" s="18"/>
      <c r="L15"/>
    </row>
    <row r="16" spans="1:12" s="3" customFormat="1" ht="11.25" customHeight="1">
      <c r="A16" s="163" t="s">
        <v>96</v>
      </c>
      <c r="B16" s="88" t="s">
        <v>41</v>
      </c>
      <c r="C16" s="89"/>
      <c r="D16" s="86">
        <v>3.21</v>
      </c>
      <c r="E16" s="92">
        <v>72</v>
      </c>
      <c r="F16" s="76"/>
      <c r="G16" s="98">
        <f aca="true" t="shared" si="0" ref="G16:G28">ROUNDUP(F16/E16,0)</f>
        <v>0</v>
      </c>
      <c r="H16" s="81">
        <f>G16*6.75</f>
        <v>0</v>
      </c>
      <c r="I16" s="81"/>
      <c r="J16" s="83"/>
      <c r="K16" s="18"/>
      <c r="L16" s="4"/>
    </row>
    <row r="17" spans="1:12" s="3" customFormat="1" ht="11.25" customHeight="1">
      <c r="A17" s="164"/>
      <c r="B17" s="53" t="s">
        <v>132</v>
      </c>
      <c r="C17" s="16" t="s">
        <v>133</v>
      </c>
      <c r="D17" s="87"/>
      <c r="E17" s="93"/>
      <c r="F17" s="77"/>
      <c r="G17" s="99"/>
      <c r="H17" s="82"/>
      <c r="I17" s="82"/>
      <c r="J17" s="85"/>
      <c r="K17" s="18"/>
      <c r="L17" s="4"/>
    </row>
    <row r="18" spans="1:12" s="3" customFormat="1" ht="11.25" customHeight="1">
      <c r="A18" s="79" t="s">
        <v>18</v>
      </c>
      <c r="B18" s="88" t="s">
        <v>41</v>
      </c>
      <c r="C18" s="89"/>
      <c r="D18" s="86">
        <v>3.69</v>
      </c>
      <c r="E18" s="92">
        <v>72</v>
      </c>
      <c r="F18" s="76"/>
      <c r="G18" s="98">
        <f t="shared" si="0"/>
        <v>0</v>
      </c>
      <c r="H18" s="81">
        <f>G18*6.75</f>
        <v>0</v>
      </c>
      <c r="I18" s="81"/>
      <c r="J18" s="83"/>
      <c r="K18" s="18"/>
      <c r="L18" s="4"/>
    </row>
    <row r="19" spans="1:12" s="3" customFormat="1" ht="11.25" customHeight="1">
      <c r="A19" s="80"/>
      <c r="B19" s="53" t="s">
        <v>110</v>
      </c>
      <c r="C19" s="16" t="s">
        <v>133</v>
      </c>
      <c r="D19" s="87"/>
      <c r="E19" s="93"/>
      <c r="F19" s="77"/>
      <c r="G19" s="99"/>
      <c r="H19" s="82"/>
      <c r="I19" s="82"/>
      <c r="J19" s="85"/>
      <c r="K19" s="18"/>
      <c r="L19" s="4"/>
    </row>
    <row r="20" spans="1:12" s="3" customFormat="1" ht="11.25" customHeight="1">
      <c r="A20" s="79" t="s">
        <v>51</v>
      </c>
      <c r="B20" s="88" t="s">
        <v>85</v>
      </c>
      <c r="C20" s="89"/>
      <c r="D20" s="86">
        <v>4.19</v>
      </c>
      <c r="E20" s="92">
        <v>72</v>
      </c>
      <c r="F20" s="76"/>
      <c r="G20" s="98">
        <f t="shared" si="0"/>
        <v>0</v>
      </c>
      <c r="H20" s="81">
        <f>G20*9</f>
        <v>0</v>
      </c>
      <c r="I20" s="81"/>
      <c r="J20" s="83"/>
      <c r="K20" s="18"/>
      <c r="L20" s="4"/>
    </row>
    <row r="21" spans="1:12" s="3" customFormat="1" ht="11.25" customHeight="1">
      <c r="A21" s="80"/>
      <c r="B21" s="53" t="s">
        <v>109</v>
      </c>
      <c r="C21" s="16" t="s">
        <v>131</v>
      </c>
      <c r="D21" s="87"/>
      <c r="E21" s="93"/>
      <c r="F21" s="77"/>
      <c r="G21" s="99"/>
      <c r="H21" s="82"/>
      <c r="I21" s="82"/>
      <c r="J21" s="85"/>
      <c r="K21" s="18"/>
      <c r="L21" s="4"/>
    </row>
    <row r="22" spans="1:12" s="3" customFormat="1" ht="11.25" customHeight="1">
      <c r="A22" s="79" t="s">
        <v>52</v>
      </c>
      <c r="B22" s="88" t="s">
        <v>86</v>
      </c>
      <c r="C22" s="89"/>
      <c r="D22" s="86">
        <v>3.69</v>
      </c>
      <c r="E22" s="92">
        <v>72</v>
      </c>
      <c r="F22" s="76"/>
      <c r="G22" s="98">
        <f t="shared" si="0"/>
        <v>0</v>
      </c>
      <c r="H22" s="81">
        <f>G22*6.75</f>
        <v>0</v>
      </c>
      <c r="I22" s="81"/>
      <c r="J22" s="83"/>
      <c r="K22" s="18"/>
      <c r="L22" s="4"/>
    </row>
    <row r="23" spans="1:12" s="3" customFormat="1" ht="11.25" customHeight="1">
      <c r="A23" s="80"/>
      <c r="B23" s="53" t="s">
        <v>110</v>
      </c>
      <c r="C23" s="16" t="s">
        <v>133</v>
      </c>
      <c r="D23" s="87"/>
      <c r="E23" s="93"/>
      <c r="F23" s="77"/>
      <c r="G23" s="99"/>
      <c r="H23" s="82"/>
      <c r="I23" s="82"/>
      <c r="J23" s="85"/>
      <c r="K23" s="18"/>
      <c r="L23" s="4"/>
    </row>
    <row r="24" spans="1:12" s="3" customFormat="1" ht="11.25" customHeight="1">
      <c r="A24" s="79" t="s">
        <v>29</v>
      </c>
      <c r="B24" s="177" t="s">
        <v>43</v>
      </c>
      <c r="C24" s="130"/>
      <c r="D24" s="86">
        <v>4.29</v>
      </c>
      <c r="E24" s="92">
        <v>72</v>
      </c>
      <c r="F24" s="76"/>
      <c r="G24" s="98">
        <f t="shared" si="0"/>
        <v>0</v>
      </c>
      <c r="H24" s="81">
        <f>G24*9.23</f>
        <v>0</v>
      </c>
      <c r="I24" s="81"/>
      <c r="J24" s="83"/>
      <c r="K24" s="18"/>
      <c r="L24" s="4"/>
    </row>
    <row r="25" spans="1:12" s="3" customFormat="1" ht="11.25" customHeight="1">
      <c r="A25" s="80"/>
      <c r="B25" s="53" t="s">
        <v>114</v>
      </c>
      <c r="C25" s="16" t="s">
        <v>134</v>
      </c>
      <c r="D25" s="87"/>
      <c r="E25" s="93"/>
      <c r="F25" s="77"/>
      <c r="G25" s="99"/>
      <c r="H25" s="82"/>
      <c r="I25" s="82"/>
      <c r="J25" s="85"/>
      <c r="K25" s="18"/>
      <c r="L25" s="4"/>
    </row>
    <row r="26" spans="1:12" s="3" customFormat="1" ht="12.75" customHeight="1">
      <c r="A26" s="62" t="s">
        <v>199</v>
      </c>
      <c r="B26" s="88" t="s">
        <v>80</v>
      </c>
      <c r="C26" s="89"/>
      <c r="D26" s="86">
        <v>4.31</v>
      </c>
      <c r="E26" s="92">
        <v>72</v>
      </c>
      <c r="F26" s="76"/>
      <c r="G26" s="98">
        <f t="shared" si="0"/>
        <v>0</v>
      </c>
      <c r="H26" s="81">
        <f>G26*9</f>
        <v>0</v>
      </c>
      <c r="I26" s="81"/>
      <c r="J26" s="83"/>
      <c r="K26" s="18"/>
      <c r="L26" s="4"/>
    </row>
    <row r="27" spans="1:12" s="3" customFormat="1" ht="13.5" customHeight="1">
      <c r="A27" s="68" t="s">
        <v>256</v>
      </c>
      <c r="B27" s="53" t="s">
        <v>109</v>
      </c>
      <c r="C27" s="16" t="s">
        <v>131</v>
      </c>
      <c r="D27" s="87"/>
      <c r="E27" s="93"/>
      <c r="F27" s="77"/>
      <c r="G27" s="99"/>
      <c r="H27" s="82"/>
      <c r="I27" s="82"/>
      <c r="J27" s="85"/>
      <c r="K27" s="18"/>
      <c r="L27" s="4"/>
    </row>
    <row r="28" spans="1:12" s="3" customFormat="1" ht="12.75" customHeight="1">
      <c r="A28" s="64" t="s">
        <v>198</v>
      </c>
      <c r="B28" s="88" t="s">
        <v>70</v>
      </c>
      <c r="C28" s="89"/>
      <c r="D28" s="86">
        <v>4.31</v>
      </c>
      <c r="E28" s="92">
        <v>72</v>
      </c>
      <c r="F28" s="76"/>
      <c r="G28" s="98">
        <f t="shared" si="0"/>
        <v>0</v>
      </c>
      <c r="H28" s="81">
        <f>G28*8.55</f>
        <v>0</v>
      </c>
      <c r="I28" s="81"/>
      <c r="J28" s="83"/>
      <c r="K28" s="18"/>
      <c r="L28" s="4"/>
    </row>
    <row r="29" spans="1:12" s="3" customFormat="1" ht="14.25" customHeight="1" thickBot="1">
      <c r="A29" s="67" t="s">
        <v>257</v>
      </c>
      <c r="B29" s="52" t="s">
        <v>115</v>
      </c>
      <c r="C29" s="16" t="s">
        <v>135</v>
      </c>
      <c r="D29" s="87"/>
      <c r="E29" s="93"/>
      <c r="F29" s="77"/>
      <c r="G29" s="99"/>
      <c r="H29" s="82"/>
      <c r="I29" s="82"/>
      <c r="J29" s="85"/>
      <c r="K29" s="18"/>
      <c r="L29" s="4"/>
    </row>
    <row r="30" spans="1:17" ht="13.5" customHeight="1" thickBot="1">
      <c r="A30" s="101" t="s">
        <v>111</v>
      </c>
      <c r="B30" s="102"/>
      <c r="C30" s="102"/>
      <c r="D30" s="102"/>
      <c r="E30" s="102"/>
      <c r="F30" s="102"/>
      <c r="G30" s="102"/>
      <c r="H30" s="102"/>
      <c r="I30" s="102"/>
      <c r="J30" s="103"/>
      <c r="K30" s="11"/>
      <c r="L30" s="6"/>
      <c r="M30" s="7"/>
      <c r="N30" s="1"/>
      <c r="O30" s="1"/>
      <c r="P30" s="1"/>
      <c r="Q30" s="1"/>
    </row>
    <row r="31" spans="1:12" s="3" customFormat="1" ht="11.25" customHeight="1">
      <c r="A31" s="79" t="s">
        <v>54</v>
      </c>
      <c r="B31" s="88" t="s">
        <v>44</v>
      </c>
      <c r="C31" s="89"/>
      <c r="D31" s="86">
        <v>4</v>
      </c>
      <c r="E31" s="92">
        <v>72</v>
      </c>
      <c r="F31" s="76"/>
      <c r="G31" s="98">
        <f aca="true" t="shared" si="1" ref="G31:G43">ROUNDUP(F31/E31,0)</f>
        <v>0</v>
      </c>
      <c r="H31" s="81">
        <f>G31*2.25</f>
        <v>0</v>
      </c>
      <c r="I31" s="81"/>
      <c r="J31" s="83"/>
      <c r="K31" s="18"/>
      <c r="L31" s="4"/>
    </row>
    <row r="32" spans="1:12" s="3" customFormat="1" ht="11.25" customHeight="1">
      <c r="A32" s="80"/>
      <c r="B32" s="58" t="s">
        <v>117</v>
      </c>
      <c r="C32" s="16" t="s">
        <v>136</v>
      </c>
      <c r="D32" s="87"/>
      <c r="E32" s="93"/>
      <c r="F32" s="77"/>
      <c r="G32" s="99"/>
      <c r="H32" s="82"/>
      <c r="I32" s="82"/>
      <c r="J32" s="85"/>
      <c r="K32" s="18"/>
      <c r="L32" s="4"/>
    </row>
    <row r="33" spans="1:12" s="3" customFormat="1" ht="11.25" customHeight="1">
      <c r="A33" s="79" t="s">
        <v>50</v>
      </c>
      <c r="B33" s="88" t="s">
        <v>87</v>
      </c>
      <c r="C33" s="89"/>
      <c r="D33" s="86">
        <v>4</v>
      </c>
      <c r="E33" s="92">
        <v>72</v>
      </c>
      <c r="F33" s="76"/>
      <c r="G33" s="98">
        <f t="shared" si="1"/>
        <v>0</v>
      </c>
      <c r="H33" s="81">
        <f>G33*2.25</f>
        <v>0</v>
      </c>
      <c r="I33" s="81"/>
      <c r="J33" s="83"/>
      <c r="K33" s="18"/>
      <c r="L33" s="4"/>
    </row>
    <row r="34" spans="1:12" s="3" customFormat="1" ht="11.25" customHeight="1">
      <c r="A34" s="80"/>
      <c r="B34" s="58" t="s">
        <v>117</v>
      </c>
      <c r="C34" s="16" t="s">
        <v>136</v>
      </c>
      <c r="D34" s="87"/>
      <c r="E34" s="93"/>
      <c r="F34" s="77"/>
      <c r="G34" s="99"/>
      <c r="H34" s="82"/>
      <c r="I34" s="82"/>
      <c r="J34" s="85"/>
      <c r="K34" s="18"/>
      <c r="L34" s="4"/>
    </row>
    <row r="35" spans="1:12" s="3" customFormat="1" ht="11.25" customHeight="1">
      <c r="A35" s="79" t="s">
        <v>242</v>
      </c>
      <c r="B35" s="88" t="s">
        <v>243</v>
      </c>
      <c r="C35" s="89"/>
      <c r="D35" s="86">
        <v>4</v>
      </c>
      <c r="E35" s="92">
        <v>72</v>
      </c>
      <c r="F35" s="76"/>
      <c r="G35" s="98">
        <f t="shared" si="1"/>
        <v>0</v>
      </c>
      <c r="H35" s="81">
        <f>G35*2.25</f>
        <v>0</v>
      </c>
      <c r="I35" s="81"/>
      <c r="J35" s="83"/>
      <c r="K35" s="18"/>
      <c r="L35" s="4"/>
    </row>
    <row r="36" spans="1:12" s="3" customFormat="1" ht="11.25" customHeight="1">
      <c r="A36" s="80"/>
      <c r="B36" s="53" t="s">
        <v>116</v>
      </c>
      <c r="C36" s="16" t="s">
        <v>136</v>
      </c>
      <c r="D36" s="87"/>
      <c r="E36" s="93"/>
      <c r="F36" s="77"/>
      <c r="G36" s="99"/>
      <c r="H36" s="82"/>
      <c r="I36" s="82"/>
      <c r="J36" s="85"/>
      <c r="K36" s="18"/>
      <c r="L36" s="4"/>
    </row>
    <row r="37" spans="1:12" s="3" customFormat="1" ht="11.25" customHeight="1">
      <c r="A37" s="79" t="s">
        <v>83</v>
      </c>
      <c r="B37" s="88" t="s">
        <v>202</v>
      </c>
      <c r="C37" s="89"/>
      <c r="D37" s="86">
        <v>4</v>
      </c>
      <c r="E37" s="92">
        <v>72</v>
      </c>
      <c r="F37" s="76"/>
      <c r="G37" s="98">
        <f t="shared" si="1"/>
        <v>0</v>
      </c>
      <c r="H37" s="81">
        <f>G37*2.25</f>
        <v>0</v>
      </c>
      <c r="I37" s="81"/>
      <c r="J37" s="83"/>
      <c r="K37" s="18"/>
      <c r="L37" s="4"/>
    </row>
    <row r="38" spans="1:12" s="3" customFormat="1" ht="11.25" customHeight="1">
      <c r="A38" s="80"/>
      <c r="B38" s="53" t="s">
        <v>117</v>
      </c>
      <c r="C38" s="16" t="s">
        <v>136</v>
      </c>
      <c r="D38" s="87"/>
      <c r="E38" s="93"/>
      <c r="F38" s="77"/>
      <c r="G38" s="99"/>
      <c r="H38" s="82"/>
      <c r="I38" s="100"/>
      <c r="J38" s="84"/>
      <c r="K38" s="18"/>
      <c r="L38" s="4"/>
    </row>
    <row r="39" spans="1:12" s="3" customFormat="1" ht="11.25" customHeight="1">
      <c r="A39" s="79" t="s">
        <v>244</v>
      </c>
      <c r="B39" s="88" t="s">
        <v>245</v>
      </c>
      <c r="C39" s="89"/>
      <c r="D39" s="86">
        <v>4</v>
      </c>
      <c r="E39" s="92">
        <v>72</v>
      </c>
      <c r="F39" s="76"/>
      <c r="G39" s="98">
        <f t="shared" si="1"/>
        <v>0</v>
      </c>
      <c r="H39" s="81">
        <f>G39*2.25</f>
        <v>0</v>
      </c>
      <c r="I39" s="81"/>
      <c r="J39" s="83"/>
      <c r="K39" s="18"/>
      <c r="L39" s="4"/>
    </row>
    <row r="40" spans="1:12" s="3" customFormat="1" ht="11.25" customHeight="1">
      <c r="A40" s="80"/>
      <c r="B40" s="53" t="s">
        <v>117</v>
      </c>
      <c r="C40" s="16" t="s">
        <v>136</v>
      </c>
      <c r="D40" s="87"/>
      <c r="E40" s="93"/>
      <c r="F40" s="77"/>
      <c r="G40" s="99"/>
      <c r="H40" s="82"/>
      <c r="I40" s="100"/>
      <c r="J40" s="84"/>
      <c r="K40" s="18"/>
      <c r="L40" s="4"/>
    </row>
    <row r="41" spans="1:12" s="3" customFormat="1" ht="11.25" customHeight="1">
      <c r="A41" s="79" t="s">
        <v>248</v>
      </c>
      <c r="B41" s="88" t="s">
        <v>249</v>
      </c>
      <c r="C41" s="89"/>
      <c r="D41" s="86">
        <v>4</v>
      </c>
      <c r="E41" s="92">
        <v>48</v>
      </c>
      <c r="F41" s="76"/>
      <c r="G41" s="98">
        <f t="shared" si="1"/>
        <v>0</v>
      </c>
      <c r="H41" s="81">
        <f>G41*1.5</f>
        <v>0</v>
      </c>
      <c r="I41" s="81"/>
      <c r="J41" s="83"/>
      <c r="K41" s="18"/>
      <c r="L41" s="4"/>
    </row>
    <row r="42" spans="1:12" s="3" customFormat="1" ht="11.25" customHeight="1">
      <c r="A42" s="80"/>
      <c r="B42" s="53" t="s">
        <v>117</v>
      </c>
      <c r="C42" s="16" t="s">
        <v>246</v>
      </c>
      <c r="D42" s="87"/>
      <c r="E42" s="93"/>
      <c r="F42" s="77"/>
      <c r="G42" s="99"/>
      <c r="H42" s="82"/>
      <c r="I42" s="100"/>
      <c r="J42" s="84"/>
      <c r="K42" s="18"/>
      <c r="L42" s="4"/>
    </row>
    <row r="43" spans="1:12" s="3" customFormat="1" ht="11.25" customHeight="1">
      <c r="A43" s="79" t="s">
        <v>250</v>
      </c>
      <c r="B43" s="88" t="s">
        <v>251</v>
      </c>
      <c r="C43" s="89"/>
      <c r="D43" s="86">
        <v>4</v>
      </c>
      <c r="E43" s="92">
        <v>48</v>
      </c>
      <c r="F43" s="76"/>
      <c r="G43" s="98">
        <f t="shared" si="1"/>
        <v>0</v>
      </c>
      <c r="H43" s="81">
        <f>G43*1.5</f>
        <v>0</v>
      </c>
      <c r="I43" s="81"/>
      <c r="J43" s="83"/>
      <c r="K43" s="18"/>
      <c r="L43" s="4"/>
    </row>
    <row r="44" spans="1:12" s="3" customFormat="1" ht="11.25" customHeight="1" thickBot="1">
      <c r="A44" s="80"/>
      <c r="B44" s="53" t="s">
        <v>117</v>
      </c>
      <c r="C44" s="16" t="s">
        <v>246</v>
      </c>
      <c r="D44" s="87"/>
      <c r="E44" s="93"/>
      <c r="F44" s="77"/>
      <c r="G44" s="99"/>
      <c r="H44" s="82"/>
      <c r="I44" s="100"/>
      <c r="J44" s="84"/>
      <c r="K44" s="18"/>
      <c r="L44" s="4"/>
    </row>
    <row r="45" spans="1:17" ht="12.75" customHeight="1" thickBot="1">
      <c r="A45" s="179" t="s">
        <v>113</v>
      </c>
      <c r="B45" s="180"/>
      <c r="C45" s="180"/>
      <c r="D45" s="180"/>
      <c r="E45" s="180"/>
      <c r="F45" s="180"/>
      <c r="G45" s="180"/>
      <c r="H45" s="180"/>
      <c r="I45" s="180"/>
      <c r="J45" s="181"/>
      <c r="K45" s="11"/>
      <c r="L45" s="6"/>
      <c r="M45" s="7"/>
      <c r="N45" s="1"/>
      <c r="O45" s="1"/>
      <c r="P45" s="1"/>
      <c r="Q45" s="1"/>
    </row>
    <row r="46" spans="1:12" s="3" customFormat="1" ht="11.25" customHeight="1">
      <c r="A46" s="125" t="s">
        <v>73</v>
      </c>
      <c r="B46" s="88" t="s">
        <v>102</v>
      </c>
      <c r="C46" s="89"/>
      <c r="D46" s="86">
        <v>2.76</v>
      </c>
      <c r="E46" s="123">
        <v>72</v>
      </c>
      <c r="F46" s="76"/>
      <c r="G46" s="98">
        <f aca="true" t="shared" si="2" ref="G46:G60">ROUNDUP(F46/E46,0)</f>
        <v>0</v>
      </c>
      <c r="H46" s="131">
        <f>G46*4.28</f>
        <v>0</v>
      </c>
      <c r="I46" s="81"/>
      <c r="J46" s="83"/>
      <c r="K46" s="18"/>
      <c r="L46" s="4"/>
    </row>
    <row r="47" spans="1:12" s="3" customFormat="1" ht="11.25" customHeight="1">
      <c r="A47" s="114"/>
      <c r="B47" s="53" t="s">
        <v>137</v>
      </c>
      <c r="C47" s="16" t="s">
        <v>138</v>
      </c>
      <c r="D47" s="122"/>
      <c r="E47" s="124"/>
      <c r="F47" s="77"/>
      <c r="G47" s="99"/>
      <c r="H47" s="132"/>
      <c r="I47" s="100"/>
      <c r="J47" s="84"/>
      <c r="K47" s="18"/>
      <c r="L47" s="4"/>
    </row>
    <row r="48" spans="1:12" s="3" customFormat="1" ht="11.25" customHeight="1">
      <c r="A48" s="79" t="s">
        <v>49</v>
      </c>
      <c r="B48" s="88" t="s">
        <v>77</v>
      </c>
      <c r="C48" s="89"/>
      <c r="D48" s="86">
        <v>3.19</v>
      </c>
      <c r="E48" s="92">
        <v>72</v>
      </c>
      <c r="F48" s="76"/>
      <c r="G48" s="98">
        <f t="shared" si="2"/>
        <v>0</v>
      </c>
      <c r="H48" s="81">
        <f>G48*4.5</f>
        <v>0</v>
      </c>
      <c r="I48" s="81"/>
      <c r="J48" s="83"/>
      <c r="K48" s="18"/>
      <c r="L48" s="4"/>
    </row>
    <row r="49" spans="1:12" s="3" customFormat="1" ht="11.25" customHeight="1">
      <c r="A49" s="80"/>
      <c r="B49" s="51" t="s">
        <v>118</v>
      </c>
      <c r="C49" s="16" t="s">
        <v>103</v>
      </c>
      <c r="D49" s="87"/>
      <c r="E49" s="93"/>
      <c r="F49" s="77"/>
      <c r="G49" s="99"/>
      <c r="H49" s="82"/>
      <c r="I49" s="82"/>
      <c r="J49" s="85"/>
      <c r="K49" s="18"/>
      <c r="L49" s="4"/>
    </row>
    <row r="50" spans="1:12" s="3" customFormat="1" ht="11.25" customHeight="1">
      <c r="A50" s="79" t="s">
        <v>84</v>
      </c>
      <c r="B50" s="88" t="s">
        <v>101</v>
      </c>
      <c r="C50" s="89"/>
      <c r="D50" s="86">
        <v>3.1</v>
      </c>
      <c r="E50" s="92">
        <v>100</v>
      </c>
      <c r="F50" s="76"/>
      <c r="G50" s="98">
        <f t="shared" si="2"/>
        <v>0</v>
      </c>
      <c r="H50" s="81">
        <f>G50*2.5</f>
        <v>0</v>
      </c>
      <c r="I50" s="81"/>
      <c r="J50" s="83"/>
      <c r="K50" s="18"/>
      <c r="L50" s="4"/>
    </row>
    <row r="51" spans="1:12" s="3" customFormat="1" ht="11.25" customHeight="1">
      <c r="A51" s="80"/>
      <c r="B51" s="53" t="s">
        <v>119</v>
      </c>
      <c r="C51" s="16" t="s">
        <v>139</v>
      </c>
      <c r="D51" s="87"/>
      <c r="E51" s="93"/>
      <c r="F51" s="77"/>
      <c r="G51" s="99"/>
      <c r="H51" s="82"/>
      <c r="I51" s="82"/>
      <c r="J51" s="85"/>
      <c r="K51" s="18"/>
      <c r="L51" s="4"/>
    </row>
    <row r="52" spans="1:12" s="3" customFormat="1" ht="11.25" customHeight="1">
      <c r="A52" s="79" t="s">
        <v>38</v>
      </c>
      <c r="B52" s="129" t="s">
        <v>62</v>
      </c>
      <c r="C52" s="130"/>
      <c r="D52" s="86">
        <v>3.1</v>
      </c>
      <c r="E52" s="92">
        <v>100</v>
      </c>
      <c r="F52" s="76"/>
      <c r="G52" s="98">
        <f t="shared" si="2"/>
        <v>0</v>
      </c>
      <c r="H52" s="81"/>
      <c r="I52" s="81"/>
      <c r="J52" s="83">
        <f>G52*10.7</f>
        <v>0</v>
      </c>
      <c r="K52" s="18"/>
      <c r="L52" s="4"/>
    </row>
    <row r="53" spans="1:12" s="3" customFormat="1" ht="11.25" customHeight="1">
      <c r="A53" s="80"/>
      <c r="B53" s="53" t="s">
        <v>140</v>
      </c>
      <c r="C53" s="16" t="s">
        <v>141</v>
      </c>
      <c r="D53" s="87"/>
      <c r="E53" s="93"/>
      <c r="F53" s="77"/>
      <c r="G53" s="99"/>
      <c r="H53" s="82"/>
      <c r="I53" s="82"/>
      <c r="J53" s="85"/>
      <c r="K53" s="18"/>
      <c r="L53" s="4"/>
    </row>
    <row r="54" spans="1:12" s="3" customFormat="1" ht="11.25" customHeight="1">
      <c r="A54" s="79" t="s">
        <v>61</v>
      </c>
      <c r="B54" s="88" t="s">
        <v>72</v>
      </c>
      <c r="C54" s="89"/>
      <c r="D54" s="86">
        <v>2.65</v>
      </c>
      <c r="E54" s="92">
        <v>72</v>
      </c>
      <c r="F54" s="76"/>
      <c r="G54" s="98">
        <f t="shared" si="2"/>
        <v>0</v>
      </c>
      <c r="H54" s="81">
        <f>G54*1.13</f>
        <v>0</v>
      </c>
      <c r="I54" s="81"/>
      <c r="J54" s="83">
        <f>G54*7.7</f>
        <v>0</v>
      </c>
      <c r="K54" s="18"/>
      <c r="L54" s="4"/>
    </row>
    <row r="55" spans="1:12" s="3" customFormat="1" ht="11.25" customHeight="1">
      <c r="A55" s="118"/>
      <c r="B55" s="53" t="s">
        <v>142</v>
      </c>
      <c r="C55" s="16" t="s">
        <v>143</v>
      </c>
      <c r="D55" s="122"/>
      <c r="E55" s="94"/>
      <c r="F55" s="77"/>
      <c r="G55" s="99"/>
      <c r="H55" s="100"/>
      <c r="I55" s="100"/>
      <c r="J55" s="84"/>
      <c r="K55" s="18"/>
      <c r="L55" s="4"/>
    </row>
    <row r="56" spans="1:12" s="3" customFormat="1" ht="12.75" customHeight="1">
      <c r="A56" s="31" t="s">
        <v>203</v>
      </c>
      <c r="B56" s="129" t="s">
        <v>71</v>
      </c>
      <c r="C56" s="130"/>
      <c r="D56" s="86">
        <v>1.98</v>
      </c>
      <c r="E56" s="92">
        <v>100</v>
      </c>
      <c r="F56" s="76"/>
      <c r="G56" s="98">
        <f t="shared" si="2"/>
        <v>0</v>
      </c>
      <c r="H56" s="81"/>
      <c r="I56" s="81">
        <f>G56*4.69</f>
        <v>0</v>
      </c>
      <c r="J56" s="83"/>
      <c r="K56" s="18"/>
      <c r="L56" s="4"/>
    </row>
    <row r="57" spans="1:12" s="3" customFormat="1" ht="12.75" customHeight="1">
      <c r="A57" s="68" t="s">
        <v>258</v>
      </c>
      <c r="B57" s="53" t="s">
        <v>144</v>
      </c>
      <c r="C57" s="16" t="s">
        <v>145</v>
      </c>
      <c r="D57" s="87"/>
      <c r="E57" s="93"/>
      <c r="F57" s="77"/>
      <c r="G57" s="99"/>
      <c r="H57" s="82"/>
      <c r="I57" s="82"/>
      <c r="J57" s="85"/>
      <c r="K57" s="18"/>
      <c r="L57" s="4"/>
    </row>
    <row r="58" spans="1:12" s="3" customFormat="1" ht="11.25" customHeight="1">
      <c r="A58" s="118" t="s">
        <v>53</v>
      </c>
      <c r="B58" s="157" t="s">
        <v>60</v>
      </c>
      <c r="C58" s="158"/>
      <c r="D58" s="122">
        <v>2.25</v>
      </c>
      <c r="E58" s="94">
        <v>100</v>
      </c>
      <c r="F58" s="76"/>
      <c r="G58" s="98">
        <f t="shared" si="2"/>
        <v>0</v>
      </c>
      <c r="H58" s="100">
        <f>G58*1.56</f>
        <v>0</v>
      </c>
      <c r="I58" s="100"/>
      <c r="J58" s="84"/>
      <c r="K58" s="18"/>
      <c r="L58" s="4"/>
    </row>
    <row r="59" spans="1:12" s="3" customFormat="1" ht="11.25" customHeight="1">
      <c r="A59" s="80"/>
      <c r="B59" s="53" t="s">
        <v>120</v>
      </c>
      <c r="C59" s="16" t="s">
        <v>146</v>
      </c>
      <c r="D59" s="87"/>
      <c r="E59" s="93"/>
      <c r="F59" s="77"/>
      <c r="G59" s="99"/>
      <c r="H59" s="82"/>
      <c r="I59" s="82"/>
      <c r="J59" s="85"/>
      <c r="K59" s="18"/>
      <c r="L59" s="4"/>
    </row>
    <row r="60" spans="1:12" s="3" customFormat="1" ht="11.25" customHeight="1">
      <c r="A60" s="79" t="s">
        <v>75</v>
      </c>
      <c r="B60" s="107" t="s">
        <v>254</v>
      </c>
      <c r="C60" s="108"/>
      <c r="D60" s="86">
        <v>2.8</v>
      </c>
      <c r="E60" s="92">
        <v>140</v>
      </c>
      <c r="F60" s="76"/>
      <c r="G60" s="98">
        <f t="shared" si="2"/>
        <v>0</v>
      </c>
      <c r="H60" s="81">
        <f>G60*2.19</f>
        <v>0</v>
      </c>
      <c r="I60" s="81"/>
      <c r="J60" s="83"/>
      <c r="K60" s="18"/>
      <c r="L60" s="4"/>
    </row>
    <row r="61" spans="1:12" s="3" customFormat="1" ht="11.25" customHeight="1" thickBot="1">
      <c r="A61" s="80"/>
      <c r="B61" s="53" t="s">
        <v>147</v>
      </c>
      <c r="C61" s="16" t="s">
        <v>148</v>
      </c>
      <c r="D61" s="87"/>
      <c r="E61" s="93"/>
      <c r="F61" s="77"/>
      <c r="G61" s="99"/>
      <c r="H61" s="82"/>
      <c r="I61" s="82"/>
      <c r="J61" s="85"/>
      <c r="K61" s="18"/>
      <c r="L61" s="4"/>
    </row>
    <row r="62" spans="1:17" ht="18" customHeight="1" thickBot="1">
      <c r="A62" s="174" t="s">
        <v>20</v>
      </c>
      <c r="B62" s="175"/>
      <c r="C62" s="175"/>
      <c r="D62" s="175"/>
      <c r="E62" s="175"/>
      <c r="F62" s="175"/>
      <c r="G62" s="176"/>
      <c r="H62" s="33">
        <f>SUM(H14:H61)</f>
        <v>0</v>
      </c>
      <c r="I62" s="33">
        <f>SUM(I14:I61)</f>
        <v>0</v>
      </c>
      <c r="J62" s="33">
        <f>SUM(J14:J61)</f>
        <v>0</v>
      </c>
      <c r="K62" s="11"/>
      <c r="L62" s="6"/>
      <c r="M62" s="7"/>
      <c r="N62" s="1"/>
      <c r="O62" s="1"/>
      <c r="P62" s="1"/>
      <c r="Q62" s="1"/>
    </row>
    <row r="63" spans="1:13" s="3" customFormat="1" ht="21" customHeight="1" thickBot="1">
      <c r="A63" s="126" t="s">
        <v>112</v>
      </c>
      <c r="B63" s="127"/>
      <c r="C63" s="127"/>
      <c r="D63" s="127"/>
      <c r="E63" s="127"/>
      <c r="F63" s="127"/>
      <c r="G63" s="127"/>
      <c r="H63" s="127"/>
      <c r="I63" s="127"/>
      <c r="J63" s="128"/>
      <c r="K63" s="38"/>
      <c r="L63" s="39"/>
      <c r="M63" s="40"/>
    </row>
    <row r="64" spans="1:12" s="3" customFormat="1" ht="12" customHeight="1">
      <c r="A64" s="79" t="s">
        <v>1</v>
      </c>
      <c r="B64" s="88" t="s">
        <v>88</v>
      </c>
      <c r="C64" s="89"/>
      <c r="D64" s="86">
        <v>4.6</v>
      </c>
      <c r="E64" s="92">
        <v>50</v>
      </c>
      <c r="F64" s="76"/>
      <c r="G64" s="98">
        <f aca="true" t="shared" si="3" ref="G64:G88">ROUNDUP(F64/E64,0)</f>
        <v>0</v>
      </c>
      <c r="H64" s="81">
        <f>G64*1.25</f>
        <v>0</v>
      </c>
      <c r="I64" s="81"/>
      <c r="J64" s="83"/>
      <c r="K64" s="18"/>
      <c r="L64" s="4"/>
    </row>
    <row r="65" spans="1:12" s="3" customFormat="1" ht="12" customHeight="1">
      <c r="A65" s="80"/>
      <c r="B65" s="53" t="s">
        <v>149</v>
      </c>
      <c r="C65" s="16" t="s">
        <v>150</v>
      </c>
      <c r="D65" s="87"/>
      <c r="E65" s="93"/>
      <c r="F65" s="77"/>
      <c r="G65" s="99"/>
      <c r="H65" s="82"/>
      <c r="I65" s="82"/>
      <c r="J65" s="85"/>
      <c r="K65" s="18"/>
      <c r="L65" s="4"/>
    </row>
    <row r="66" spans="1:12" s="3" customFormat="1" ht="12" customHeight="1">
      <c r="A66" s="79" t="s">
        <v>33</v>
      </c>
      <c r="B66" s="88" t="s">
        <v>40</v>
      </c>
      <c r="C66" s="89"/>
      <c r="D66" s="86">
        <v>4.5</v>
      </c>
      <c r="E66" s="92">
        <v>72</v>
      </c>
      <c r="F66" s="76"/>
      <c r="G66" s="98">
        <f t="shared" si="3"/>
        <v>0</v>
      </c>
      <c r="H66" s="81">
        <f>G66*2.25</f>
        <v>0</v>
      </c>
      <c r="I66" s="81"/>
      <c r="J66" s="83"/>
      <c r="K66" s="18"/>
      <c r="L66" s="4"/>
    </row>
    <row r="67" spans="1:12" s="3" customFormat="1" ht="12" customHeight="1">
      <c r="A67" s="118"/>
      <c r="B67" s="53" t="s">
        <v>149</v>
      </c>
      <c r="C67" s="16" t="s">
        <v>151</v>
      </c>
      <c r="D67" s="122"/>
      <c r="E67" s="94"/>
      <c r="F67" s="77"/>
      <c r="G67" s="99"/>
      <c r="H67" s="100"/>
      <c r="I67" s="100"/>
      <c r="J67" s="84"/>
      <c r="K67" s="18"/>
      <c r="L67" s="4"/>
    </row>
    <row r="68" spans="1:12" s="3" customFormat="1" ht="12" customHeight="1">
      <c r="A68" s="79" t="s">
        <v>45</v>
      </c>
      <c r="B68" s="129" t="s">
        <v>63</v>
      </c>
      <c r="C68" s="130"/>
      <c r="D68" s="86">
        <v>4.36</v>
      </c>
      <c r="E68" s="92">
        <v>75</v>
      </c>
      <c r="F68" s="76"/>
      <c r="G68" s="98">
        <f t="shared" si="3"/>
        <v>0</v>
      </c>
      <c r="H68" s="81"/>
      <c r="I68" s="81"/>
      <c r="J68" s="83">
        <f>G68*10.97</f>
        <v>0</v>
      </c>
      <c r="K68" s="18"/>
      <c r="L68" s="4"/>
    </row>
    <row r="69" spans="1:12" s="3" customFormat="1" ht="12" customHeight="1">
      <c r="A69" s="80"/>
      <c r="B69" s="53" t="s">
        <v>240</v>
      </c>
      <c r="C69" s="16" t="s">
        <v>266</v>
      </c>
      <c r="D69" s="87"/>
      <c r="E69" s="93"/>
      <c r="F69" s="77"/>
      <c r="G69" s="99"/>
      <c r="H69" s="82"/>
      <c r="I69" s="82"/>
      <c r="J69" s="85"/>
      <c r="K69" s="18"/>
      <c r="L69" s="4"/>
    </row>
    <row r="70" spans="1:12" s="3" customFormat="1" ht="12" customHeight="1">
      <c r="A70" s="79" t="s">
        <v>11</v>
      </c>
      <c r="B70" s="88" t="s">
        <v>58</v>
      </c>
      <c r="C70" s="89"/>
      <c r="D70" s="86">
        <v>4.25</v>
      </c>
      <c r="E70" s="92">
        <v>50</v>
      </c>
      <c r="F70" s="76"/>
      <c r="G70" s="98">
        <f t="shared" si="3"/>
        <v>0</v>
      </c>
      <c r="H70" s="81"/>
      <c r="I70" s="81"/>
      <c r="J70" s="83">
        <f>G70*7.71</f>
        <v>0</v>
      </c>
      <c r="K70" s="18"/>
      <c r="L70" s="4"/>
    </row>
    <row r="71" spans="1:12" s="3" customFormat="1" ht="12" customHeight="1">
      <c r="A71" s="80"/>
      <c r="B71" s="53" t="s">
        <v>121</v>
      </c>
      <c r="C71" s="16" t="s">
        <v>153</v>
      </c>
      <c r="D71" s="87"/>
      <c r="E71" s="93"/>
      <c r="F71" s="77"/>
      <c r="G71" s="99"/>
      <c r="H71" s="82"/>
      <c r="I71" s="82"/>
      <c r="J71" s="85"/>
      <c r="K71" s="18"/>
      <c r="L71" s="4"/>
    </row>
    <row r="72" spans="1:12" s="3" customFormat="1" ht="12" customHeight="1">
      <c r="A72" s="79" t="s">
        <v>15</v>
      </c>
      <c r="B72" s="88" t="s">
        <v>90</v>
      </c>
      <c r="C72" s="89"/>
      <c r="D72" s="86">
        <v>4.6</v>
      </c>
      <c r="E72" s="92">
        <v>50</v>
      </c>
      <c r="F72" s="76"/>
      <c r="G72" s="98">
        <f t="shared" si="3"/>
        <v>0</v>
      </c>
      <c r="H72" s="81">
        <f>G72*1.09</f>
        <v>0</v>
      </c>
      <c r="I72" s="81"/>
      <c r="J72" s="83">
        <f>G72*7.71</f>
        <v>0</v>
      </c>
      <c r="K72" s="18"/>
      <c r="L72" s="4"/>
    </row>
    <row r="73" spans="1:12" s="3" customFormat="1" ht="12" customHeight="1">
      <c r="A73" s="80"/>
      <c r="B73" s="53" t="s">
        <v>122</v>
      </c>
      <c r="C73" s="16" t="s">
        <v>154</v>
      </c>
      <c r="D73" s="87"/>
      <c r="E73" s="93"/>
      <c r="F73" s="77"/>
      <c r="G73" s="99"/>
      <c r="H73" s="82"/>
      <c r="I73" s="82"/>
      <c r="J73" s="85"/>
      <c r="K73" s="18"/>
      <c r="L73" s="4"/>
    </row>
    <row r="74" spans="1:12" s="3" customFormat="1" ht="12" customHeight="1">
      <c r="A74" s="79" t="s">
        <v>25</v>
      </c>
      <c r="B74" s="129" t="s">
        <v>64</v>
      </c>
      <c r="C74" s="130"/>
      <c r="D74" s="86">
        <v>4.55</v>
      </c>
      <c r="E74" s="92">
        <v>50</v>
      </c>
      <c r="F74" s="76"/>
      <c r="G74" s="98">
        <f t="shared" si="3"/>
        <v>0</v>
      </c>
      <c r="H74" s="81"/>
      <c r="I74" s="81"/>
      <c r="J74" s="83">
        <f>G74*7.32</f>
        <v>0</v>
      </c>
      <c r="K74" s="18"/>
      <c r="L74" s="4"/>
    </row>
    <row r="75" spans="1:12" s="3" customFormat="1" ht="12" customHeight="1">
      <c r="A75" s="80"/>
      <c r="B75" s="53" t="s">
        <v>162</v>
      </c>
      <c r="C75" s="16" t="s">
        <v>163</v>
      </c>
      <c r="D75" s="87"/>
      <c r="E75" s="93"/>
      <c r="F75" s="77"/>
      <c r="G75" s="99"/>
      <c r="H75" s="82"/>
      <c r="I75" s="82"/>
      <c r="J75" s="85"/>
      <c r="K75" s="18"/>
      <c r="L75" s="4"/>
    </row>
    <row r="76" spans="1:12" s="3" customFormat="1" ht="12" customHeight="1">
      <c r="A76" s="79" t="s">
        <v>42</v>
      </c>
      <c r="B76" s="88" t="s">
        <v>65</v>
      </c>
      <c r="C76" s="89"/>
      <c r="D76" s="86">
        <v>4.35</v>
      </c>
      <c r="E76" s="92">
        <v>75</v>
      </c>
      <c r="F76" s="76"/>
      <c r="G76" s="98">
        <f t="shared" si="3"/>
        <v>0</v>
      </c>
      <c r="H76" s="81">
        <f>G76*1.17</f>
        <v>0</v>
      </c>
      <c r="I76" s="81"/>
      <c r="J76" s="83">
        <f>G76*10.28</f>
        <v>0</v>
      </c>
      <c r="K76" s="18"/>
      <c r="L76" s="4"/>
    </row>
    <row r="77" spans="1:12" s="3" customFormat="1" ht="12" customHeight="1">
      <c r="A77" s="80"/>
      <c r="B77" s="53" t="s">
        <v>155</v>
      </c>
      <c r="C77" s="16" t="s">
        <v>164</v>
      </c>
      <c r="D77" s="87"/>
      <c r="E77" s="93"/>
      <c r="F77" s="77"/>
      <c r="G77" s="99"/>
      <c r="H77" s="82"/>
      <c r="I77" s="82"/>
      <c r="J77" s="85"/>
      <c r="K77" s="18"/>
      <c r="L77" s="4"/>
    </row>
    <row r="78" spans="1:12" s="3" customFormat="1" ht="12" customHeight="1">
      <c r="A78" s="79" t="s">
        <v>74</v>
      </c>
      <c r="B78" s="88" t="s">
        <v>253</v>
      </c>
      <c r="C78" s="89"/>
      <c r="D78" s="86">
        <v>4.25</v>
      </c>
      <c r="E78" s="92">
        <v>75</v>
      </c>
      <c r="F78" s="76"/>
      <c r="G78" s="98">
        <f t="shared" si="3"/>
        <v>0</v>
      </c>
      <c r="H78" s="81">
        <f>G78*1.17</f>
        <v>0</v>
      </c>
      <c r="I78" s="81"/>
      <c r="J78" s="83"/>
      <c r="K78" s="18"/>
      <c r="L78" s="4"/>
    </row>
    <row r="79" spans="1:12" s="3" customFormat="1" ht="12" customHeight="1">
      <c r="A79" s="80"/>
      <c r="B79" s="53" t="s">
        <v>123</v>
      </c>
      <c r="C79" s="16" t="s">
        <v>152</v>
      </c>
      <c r="D79" s="87"/>
      <c r="E79" s="93"/>
      <c r="F79" s="77"/>
      <c r="G79" s="99"/>
      <c r="H79" s="82"/>
      <c r="I79" s="82"/>
      <c r="J79" s="85"/>
      <c r="K79" s="18"/>
      <c r="L79" s="4"/>
    </row>
    <row r="80" spans="1:12" s="3" customFormat="1" ht="12" customHeight="1">
      <c r="A80" s="79" t="s">
        <v>78</v>
      </c>
      <c r="B80" s="88" t="s">
        <v>89</v>
      </c>
      <c r="C80" s="89"/>
      <c r="D80" s="169">
        <v>4.11</v>
      </c>
      <c r="E80" s="92">
        <v>100</v>
      </c>
      <c r="F80" s="76"/>
      <c r="G80" s="98">
        <f t="shared" si="3"/>
        <v>0</v>
      </c>
      <c r="H80" s="81"/>
      <c r="I80" s="81">
        <f>G80*12.51</f>
        <v>0</v>
      </c>
      <c r="J80" s="34"/>
      <c r="K80" s="18"/>
      <c r="L80" s="4"/>
    </row>
    <row r="81" spans="1:12" s="3" customFormat="1" ht="12" customHeight="1">
      <c r="A81" s="80"/>
      <c r="B81" s="53" t="s">
        <v>123</v>
      </c>
      <c r="C81" s="16" t="s">
        <v>104</v>
      </c>
      <c r="D81" s="170"/>
      <c r="E81" s="93"/>
      <c r="F81" s="77"/>
      <c r="G81" s="99"/>
      <c r="H81" s="82"/>
      <c r="I81" s="82"/>
      <c r="J81" s="35"/>
      <c r="K81" s="18"/>
      <c r="L81" s="4"/>
    </row>
    <row r="82" spans="1:12" s="3" customFormat="1" ht="12" customHeight="1">
      <c r="A82" s="79" t="s">
        <v>69</v>
      </c>
      <c r="B82" s="88" t="s">
        <v>252</v>
      </c>
      <c r="C82" s="89"/>
      <c r="D82" s="86">
        <v>2.05</v>
      </c>
      <c r="E82" s="92">
        <v>120</v>
      </c>
      <c r="F82" s="76"/>
      <c r="G82" s="98">
        <f t="shared" si="3"/>
        <v>0</v>
      </c>
      <c r="H82" s="81">
        <f>G82*7.5</f>
        <v>0</v>
      </c>
      <c r="I82" s="81"/>
      <c r="J82" s="83"/>
      <c r="K82" s="18"/>
      <c r="L82" s="4"/>
    </row>
    <row r="83" spans="1:12" s="3" customFormat="1" ht="12" customHeight="1">
      <c r="A83" s="80"/>
      <c r="B83" s="53" t="s">
        <v>124</v>
      </c>
      <c r="C83" s="16" t="s">
        <v>239</v>
      </c>
      <c r="D83" s="87"/>
      <c r="E83" s="93"/>
      <c r="F83" s="77"/>
      <c r="G83" s="99"/>
      <c r="H83" s="82"/>
      <c r="I83" s="82"/>
      <c r="J83" s="85"/>
      <c r="K83" s="18"/>
      <c r="L83" s="4"/>
    </row>
    <row r="84" spans="1:12" s="3" customFormat="1" ht="18" customHeight="1">
      <c r="A84" s="62" t="s">
        <v>238</v>
      </c>
      <c r="B84" s="88" t="s">
        <v>91</v>
      </c>
      <c r="C84" s="89"/>
      <c r="D84" s="86">
        <v>4.6</v>
      </c>
      <c r="E84" s="92">
        <v>50</v>
      </c>
      <c r="F84" s="76"/>
      <c r="G84" s="98">
        <f t="shared" si="3"/>
        <v>0</v>
      </c>
      <c r="H84" s="81"/>
      <c r="I84" s="81">
        <f>G84*3.12</f>
        <v>0</v>
      </c>
      <c r="J84" s="83">
        <f>G84*3.71</f>
        <v>0</v>
      </c>
      <c r="K84" s="18"/>
      <c r="L84" s="4"/>
    </row>
    <row r="85" spans="1:12" s="3" customFormat="1" ht="18" customHeight="1">
      <c r="A85" s="69" t="s">
        <v>259</v>
      </c>
      <c r="B85" s="53" t="s">
        <v>156</v>
      </c>
      <c r="C85" s="16" t="s">
        <v>157</v>
      </c>
      <c r="D85" s="87"/>
      <c r="E85" s="93"/>
      <c r="F85" s="77"/>
      <c r="G85" s="99"/>
      <c r="H85" s="82"/>
      <c r="I85" s="82"/>
      <c r="J85" s="85"/>
      <c r="K85" s="18"/>
      <c r="L85" s="4"/>
    </row>
    <row r="86" spans="1:12" s="3" customFormat="1" ht="18" customHeight="1">
      <c r="A86" s="62" t="s">
        <v>97</v>
      </c>
      <c r="B86" s="88" t="s">
        <v>66</v>
      </c>
      <c r="C86" s="89"/>
      <c r="D86" s="86">
        <v>3.11</v>
      </c>
      <c r="E86" s="92">
        <v>72</v>
      </c>
      <c r="F86" s="76"/>
      <c r="G86" s="98">
        <f t="shared" si="3"/>
        <v>0</v>
      </c>
      <c r="H86" s="81"/>
      <c r="I86" s="81">
        <f>G86*6.76</f>
        <v>0</v>
      </c>
      <c r="J86" s="83">
        <f>G86*2.85</f>
        <v>0</v>
      </c>
      <c r="K86" s="18"/>
      <c r="L86" s="4"/>
    </row>
    <row r="87" spans="1:12" s="3" customFormat="1" ht="18" customHeight="1">
      <c r="A87" s="63" t="s">
        <v>98</v>
      </c>
      <c r="B87" s="53" t="s">
        <v>158</v>
      </c>
      <c r="C87" s="16" t="s">
        <v>159</v>
      </c>
      <c r="D87" s="87"/>
      <c r="E87" s="93"/>
      <c r="F87" s="77"/>
      <c r="G87" s="99"/>
      <c r="H87" s="82"/>
      <c r="I87" s="82"/>
      <c r="J87" s="85"/>
      <c r="K87" s="18"/>
      <c r="L87" s="4"/>
    </row>
    <row r="88" spans="1:12" s="3" customFormat="1" ht="18" customHeight="1">
      <c r="A88" s="62" t="s">
        <v>99</v>
      </c>
      <c r="B88" s="88" t="s">
        <v>67</v>
      </c>
      <c r="C88" s="89"/>
      <c r="D88" s="86">
        <v>3.82</v>
      </c>
      <c r="E88" s="92">
        <v>72</v>
      </c>
      <c r="F88" s="76"/>
      <c r="G88" s="98">
        <f t="shared" si="3"/>
        <v>0</v>
      </c>
      <c r="H88" s="173"/>
      <c r="I88" s="173">
        <f>G88*4.95</f>
        <v>0</v>
      </c>
      <c r="J88" s="139"/>
      <c r="K88" s="18"/>
      <c r="L88" s="22"/>
    </row>
    <row r="89" spans="1:12" s="3" customFormat="1" ht="18" customHeight="1" thickBot="1">
      <c r="A89" s="63" t="s">
        <v>100</v>
      </c>
      <c r="B89" s="52" t="s">
        <v>160</v>
      </c>
      <c r="C89" s="56" t="s">
        <v>161</v>
      </c>
      <c r="D89" s="122"/>
      <c r="E89" s="94"/>
      <c r="F89" s="77"/>
      <c r="G89" s="99"/>
      <c r="H89" s="81"/>
      <c r="I89" s="81"/>
      <c r="J89" s="83"/>
      <c r="K89" s="18"/>
      <c r="L89" s="22"/>
    </row>
    <row r="90" spans="1:17" ht="18" customHeight="1" thickBot="1">
      <c r="A90" s="174" t="s">
        <v>21</v>
      </c>
      <c r="B90" s="175"/>
      <c r="C90" s="175"/>
      <c r="D90" s="175"/>
      <c r="E90" s="175"/>
      <c r="F90" s="175"/>
      <c r="G90" s="176"/>
      <c r="H90" s="33">
        <f>SUM(H64:H89)</f>
        <v>0</v>
      </c>
      <c r="I90" s="33">
        <f>SUM(I64:I89)</f>
        <v>0</v>
      </c>
      <c r="J90" s="33">
        <f>SUM(J64:J89)</f>
        <v>0</v>
      </c>
      <c r="K90" s="11"/>
      <c r="L90" s="6"/>
      <c r="M90" s="7"/>
      <c r="N90" s="1"/>
      <c r="O90" s="1"/>
      <c r="P90" s="1"/>
      <c r="Q90" s="1"/>
    </row>
    <row r="91" spans="1:13" s="3" customFormat="1" ht="20.25" customHeight="1" thickBot="1">
      <c r="A91" s="126" t="s">
        <v>237</v>
      </c>
      <c r="B91" s="127"/>
      <c r="C91" s="127"/>
      <c r="D91" s="127"/>
      <c r="E91" s="127"/>
      <c r="F91" s="127"/>
      <c r="G91" s="127"/>
      <c r="H91" s="127"/>
      <c r="I91" s="127"/>
      <c r="J91" s="128"/>
      <c r="K91" s="38"/>
      <c r="L91" s="39"/>
      <c r="M91" s="40"/>
    </row>
    <row r="92" spans="1:12" s="3" customFormat="1" ht="12" customHeight="1">
      <c r="A92" s="118" t="s">
        <v>30</v>
      </c>
      <c r="B92" s="157" t="s">
        <v>93</v>
      </c>
      <c r="C92" s="158"/>
      <c r="D92" s="122">
        <v>1.2</v>
      </c>
      <c r="E92" s="94">
        <v>250</v>
      </c>
      <c r="F92" s="76"/>
      <c r="G92" s="98">
        <f>ROUNDUP(F92/E92,0)</f>
        <v>0</v>
      </c>
      <c r="H92" s="100"/>
      <c r="I92" s="100"/>
      <c r="J92" s="84">
        <f>G92*20.56</f>
        <v>0</v>
      </c>
      <c r="K92" s="18"/>
      <c r="L92" s="22"/>
    </row>
    <row r="93" spans="1:12" s="3" customFormat="1" ht="12" customHeight="1">
      <c r="A93" s="80"/>
      <c r="B93" s="53" t="s">
        <v>165</v>
      </c>
      <c r="C93" s="16" t="s">
        <v>166</v>
      </c>
      <c r="D93" s="87"/>
      <c r="E93" s="93"/>
      <c r="F93" s="77"/>
      <c r="G93" s="99"/>
      <c r="H93" s="82"/>
      <c r="I93" s="82"/>
      <c r="J93" s="85"/>
      <c r="K93" s="18"/>
      <c r="L93" s="4"/>
    </row>
    <row r="94" spans="1:12" s="3" customFormat="1" ht="12" customHeight="1">
      <c r="A94" s="79" t="s">
        <v>4</v>
      </c>
      <c r="B94" s="88" t="s">
        <v>94</v>
      </c>
      <c r="C94" s="89"/>
      <c r="D94" s="86">
        <v>2.25</v>
      </c>
      <c r="E94" s="92">
        <v>140</v>
      </c>
      <c r="F94" s="76"/>
      <c r="G94" s="98">
        <f>ROUNDUP(F94/E94,0)</f>
        <v>0</v>
      </c>
      <c r="H94" s="81"/>
      <c r="I94" s="81"/>
      <c r="J94" s="83">
        <f>G94*21.58</f>
        <v>0</v>
      </c>
      <c r="K94" s="18"/>
      <c r="L94" s="4"/>
    </row>
    <row r="95" spans="1:12" s="3" customFormat="1" ht="12" customHeight="1">
      <c r="A95" s="80"/>
      <c r="B95" s="53" t="s">
        <v>167</v>
      </c>
      <c r="C95" s="16" t="s">
        <v>168</v>
      </c>
      <c r="D95" s="87"/>
      <c r="E95" s="93"/>
      <c r="F95" s="77"/>
      <c r="G95" s="99"/>
      <c r="H95" s="82"/>
      <c r="I95" s="82"/>
      <c r="J95" s="85"/>
      <c r="K95" s="18"/>
      <c r="L95" s="4"/>
    </row>
    <row r="96" spans="1:12" s="3" customFormat="1" ht="12" customHeight="1">
      <c r="A96" s="79" t="s">
        <v>5</v>
      </c>
      <c r="B96" s="88" t="s">
        <v>95</v>
      </c>
      <c r="C96" s="89"/>
      <c r="D96" s="86">
        <v>2.25</v>
      </c>
      <c r="E96" s="92">
        <v>105</v>
      </c>
      <c r="F96" s="76"/>
      <c r="G96" s="98">
        <f>ROUNDUP(F96/E96,0)</f>
        <v>0</v>
      </c>
      <c r="H96" s="81"/>
      <c r="I96" s="81"/>
      <c r="J96" s="83">
        <f>G96*16.19</f>
        <v>0</v>
      </c>
      <c r="K96" s="18"/>
      <c r="L96" s="4"/>
    </row>
    <row r="97" spans="1:12" s="3" customFormat="1" ht="12" customHeight="1">
      <c r="A97" s="80"/>
      <c r="B97" s="53" t="s">
        <v>169</v>
      </c>
      <c r="C97" s="16" t="s">
        <v>170</v>
      </c>
      <c r="D97" s="87"/>
      <c r="E97" s="93"/>
      <c r="F97" s="77"/>
      <c r="G97" s="99"/>
      <c r="H97" s="82"/>
      <c r="I97" s="82"/>
      <c r="J97" s="85"/>
      <c r="K97" s="18"/>
      <c r="L97" s="4"/>
    </row>
    <row r="98" spans="1:12" s="3" customFormat="1" ht="12" customHeight="1">
      <c r="A98" s="79" t="s">
        <v>6</v>
      </c>
      <c r="B98" s="88" t="s">
        <v>94</v>
      </c>
      <c r="C98" s="89"/>
      <c r="D98" s="86">
        <v>2.4</v>
      </c>
      <c r="E98" s="92">
        <v>132</v>
      </c>
      <c r="F98" s="76"/>
      <c r="G98" s="98">
        <f>ROUNDUP(F98/E98,0)</f>
        <v>0</v>
      </c>
      <c r="H98" s="81"/>
      <c r="I98" s="81"/>
      <c r="J98" s="83">
        <f>G98*21.71</f>
        <v>0</v>
      </c>
      <c r="K98" s="18"/>
      <c r="L98" s="4"/>
    </row>
    <row r="99" spans="1:12" s="3" customFormat="1" ht="12" customHeight="1">
      <c r="A99" s="80"/>
      <c r="B99" s="53" t="s">
        <v>169</v>
      </c>
      <c r="C99" s="16" t="s">
        <v>171</v>
      </c>
      <c r="D99" s="87"/>
      <c r="E99" s="93"/>
      <c r="F99" s="77"/>
      <c r="G99" s="99"/>
      <c r="H99" s="82"/>
      <c r="I99" s="82"/>
      <c r="J99" s="85"/>
      <c r="K99" s="18"/>
      <c r="L99" s="4"/>
    </row>
    <row r="100" spans="1:12" s="3" customFormat="1" ht="12" customHeight="1">
      <c r="A100" s="79" t="s">
        <v>7</v>
      </c>
      <c r="B100" s="88" t="s">
        <v>95</v>
      </c>
      <c r="C100" s="89"/>
      <c r="D100" s="86">
        <v>2.4</v>
      </c>
      <c r="E100" s="92">
        <v>105</v>
      </c>
      <c r="F100" s="76"/>
      <c r="G100" s="98">
        <f>ROUNDUP(F100/E100,0)</f>
        <v>0</v>
      </c>
      <c r="H100" s="81"/>
      <c r="I100" s="81"/>
      <c r="J100" s="83">
        <f>G100*17.27</f>
        <v>0</v>
      </c>
      <c r="K100" s="18"/>
      <c r="L100" s="4"/>
    </row>
    <row r="101" spans="1:12" s="3" customFormat="1" ht="12" customHeight="1">
      <c r="A101" s="80"/>
      <c r="B101" s="53" t="s">
        <v>125</v>
      </c>
      <c r="C101" s="16" t="s">
        <v>172</v>
      </c>
      <c r="D101" s="87"/>
      <c r="E101" s="93"/>
      <c r="F101" s="77"/>
      <c r="G101" s="99"/>
      <c r="H101" s="82"/>
      <c r="I101" s="82"/>
      <c r="J101" s="85"/>
      <c r="K101" s="18"/>
      <c r="L101" s="4"/>
    </row>
    <row r="102" spans="1:12" s="3" customFormat="1" ht="12" customHeight="1">
      <c r="A102" s="79" t="s">
        <v>31</v>
      </c>
      <c r="B102" s="88" t="s">
        <v>55</v>
      </c>
      <c r="C102" s="89"/>
      <c r="D102" s="86">
        <v>2.5</v>
      </c>
      <c r="E102" s="92">
        <v>140</v>
      </c>
      <c r="F102" s="76"/>
      <c r="G102" s="98">
        <f>ROUNDUP(F102/E102,0)</f>
        <v>0</v>
      </c>
      <c r="H102" s="81"/>
      <c r="I102" s="81"/>
      <c r="J102" s="83">
        <f>G102*21.88</f>
        <v>0</v>
      </c>
      <c r="K102" s="18"/>
      <c r="L102" s="4"/>
    </row>
    <row r="103" spans="1:12" s="3" customFormat="1" ht="12" customHeight="1">
      <c r="A103" s="118"/>
      <c r="B103" s="53" t="s">
        <v>169</v>
      </c>
      <c r="C103" s="16" t="s">
        <v>173</v>
      </c>
      <c r="D103" s="122"/>
      <c r="E103" s="94"/>
      <c r="F103" s="77"/>
      <c r="G103" s="99"/>
      <c r="H103" s="100"/>
      <c r="I103" s="100"/>
      <c r="J103" s="84"/>
      <c r="K103" s="18"/>
      <c r="L103" s="4"/>
    </row>
    <row r="104" spans="1:12" s="3" customFormat="1" ht="12" customHeight="1">
      <c r="A104" s="79" t="s">
        <v>9</v>
      </c>
      <c r="B104" s="88" t="s">
        <v>81</v>
      </c>
      <c r="C104" s="89"/>
      <c r="D104" s="86">
        <v>2.6</v>
      </c>
      <c r="E104" s="92">
        <v>135</v>
      </c>
      <c r="F104" s="76"/>
      <c r="G104" s="98">
        <f>ROUNDUP(F104/E104,0)</f>
        <v>0</v>
      </c>
      <c r="H104" s="81"/>
      <c r="I104" s="81"/>
      <c r="J104" s="83">
        <f>G104*23.52</f>
        <v>0</v>
      </c>
      <c r="K104" s="18"/>
      <c r="L104" s="4"/>
    </row>
    <row r="105" spans="1:12" s="3" customFormat="1" ht="12" customHeight="1">
      <c r="A105" s="80"/>
      <c r="B105" s="53" t="s">
        <v>126</v>
      </c>
      <c r="C105" s="16" t="s">
        <v>174</v>
      </c>
      <c r="D105" s="87"/>
      <c r="E105" s="93"/>
      <c r="F105" s="77"/>
      <c r="G105" s="99"/>
      <c r="H105" s="82"/>
      <c r="I105" s="82"/>
      <c r="J105" s="85"/>
      <c r="K105" s="18"/>
      <c r="L105" s="4"/>
    </row>
    <row r="106" spans="1:12" s="3" customFormat="1" ht="12" customHeight="1">
      <c r="A106" s="79" t="s">
        <v>59</v>
      </c>
      <c r="B106" s="88" t="s">
        <v>195</v>
      </c>
      <c r="C106" s="89"/>
      <c r="D106" s="86">
        <v>3.3</v>
      </c>
      <c r="E106" s="109">
        <v>100</v>
      </c>
      <c r="F106" s="76"/>
      <c r="G106" s="98">
        <f>ROUNDUP(F106/E106,0)</f>
        <v>0</v>
      </c>
      <c r="H106" s="81"/>
      <c r="I106" s="81"/>
      <c r="J106" s="83">
        <f>G106*17.58</f>
        <v>0</v>
      </c>
      <c r="K106" s="18"/>
      <c r="L106" s="4"/>
    </row>
    <row r="107" spans="1:12" s="3" customFormat="1" ht="12" customHeight="1">
      <c r="A107" s="80"/>
      <c r="B107" s="51" t="s">
        <v>127</v>
      </c>
      <c r="C107" s="16" t="s">
        <v>180</v>
      </c>
      <c r="D107" s="87"/>
      <c r="E107" s="110"/>
      <c r="F107" s="77"/>
      <c r="G107" s="99"/>
      <c r="H107" s="82"/>
      <c r="I107" s="82"/>
      <c r="J107" s="85"/>
      <c r="K107" s="18"/>
      <c r="L107" s="4"/>
    </row>
    <row r="108" spans="1:12" s="3" customFormat="1" ht="12" customHeight="1">
      <c r="A108" s="79" t="s">
        <v>28</v>
      </c>
      <c r="B108" s="129" t="s">
        <v>79</v>
      </c>
      <c r="C108" s="130"/>
      <c r="D108" s="86">
        <v>2.5</v>
      </c>
      <c r="E108" s="92">
        <v>256</v>
      </c>
      <c r="F108" s="76"/>
      <c r="G108" s="98">
        <f>ROUNDUP(F108/E108,0)</f>
        <v>0</v>
      </c>
      <c r="H108" s="81"/>
      <c r="I108" s="81"/>
      <c r="J108" s="83">
        <f>G108*34.34</f>
        <v>0</v>
      </c>
      <c r="K108" s="18"/>
      <c r="L108" s="4"/>
    </row>
    <row r="109" spans="1:12" s="3" customFormat="1" ht="12" customHeight="1">
      <c r="A109" s="80"/>
      <c r="B109" s="53" t="s">
        <v>175</v>
      </c>
      <c r="C109" s="16" t="s">
        <v>179</v>
      </c>
      <c r="D109" s="87"/>
      <c r="E109" s="93"/>
      <c r="F109" s="77"/>
      <c r="G109" s="99"/>
      <c r="H109" s="82"/>
      <c r="I109" s="82"/>
      <c r="J109" s="85"/>
      <c r="K109" s="18"/>
      <c r="L109" s="4"/>
    </row>
    <row r="110" spans="1:12" s="3" customFormat="1" ht="12" customHeight="1">
      <c r="A110" s="79" t="s">
        <v>8</v>
      </c>
      <c r="B110" s="88" t="s">
        <v>82</v>
      </c>
      <c r="C110" s="89"/>
      <c r="D110" s="86">
        <v>2.6</v>
      </c>
      <c r="E110" s="92">
        <v>135</v>
      </c>
      <c r="F110" s="76"/>
      <c r="G110" s="98">
        <f>ROUNDUP(F110/E110,0)</f>
        <v>0</v>
      </c>
      <c r="H110" s="81"/>
      <c r="I110" s="81"/>
      <c r="J110" s="83">
        <f>G110*18.7</f>
        <v>0</v>
      </c>
      <c r="K110" s="18"/>
      <c r="L110" s="4"/>
    </row>
    <row r="111" spans="1:12" s="3" customFormat="1" ht="12" customHeight="1">
      <c r="A111" s="80"/>
      <c r="B111" s="53" t="s">
        <v>128</v>
      </c>
      <c r="C111" s="16" t="s">
        <v>176</v>
      </c>
      <c r="D111" s="87"/>
      <c r="E111" s="93"/>
      <c r="F111" s="77"/>
      <c r="G111" s="99"/>
      <c r="H111" s="82"/>
      <c r="I111" s="82"/>
      <c r="J111" s="85"/>
      <c r="K111" s="18"/>
      <c r="L111" s="4"/>
    </row>
    <row r="112" spans="1:12" s="3" customFormat="1" ht="12" customHeight="1">
      <c r="A112" s="79" t="s">
        <v>57</v>
      </c>
      <c r="B112" s="88" t="s">
        <v>92</v>
      </c>
      <c r="C112" s="89"/>
      <c r="D112" s="86">
        <v>2.15</v>
      </c>
      <c r="E112" s="171">
        <v>156</v>
      </c>
      <c r="F112" s="76"/>
      <c r="G112" s="98">
        <f>ROUNDUP(F112/E112,0)</f>
        <v>0</v>
      </c>
      <c r="H112" s="81"/>
      <c r="I112" s="81"/>
      <c r="J112" s="83">
        <f>G112*20.2</f>
        <v>0</v>
      </c>
      <c r="K112" s="18"/>
      <c r="L112" s="4"/>
    </row>
    <row r="113" spans="1:12" s="3" customFormat="1" ht="12" customHeight="1">
      <c r="A113" s="80"/>
      <c r="B113" s="51" t="s">
        <v>129</v>
      </c>
      <c r="C113" s="16" t="s">
        <v>105</v>
      </c>
      <c r="D113" s="87"/>
      <c r="E113" s="172"/>
      <c r="F113" s="77"/>
      <c r="G113" s="99"/>
      <c r="H113" s="82"/>
      <c r="I113" s="82"/>
      <c r="J113" s="85"/>
      <c r="K113" s="18"/>
      <c r="L113" s="4"/>
    </row>
    <row r="114" spans="1:12" s="3" customFormat="1" ht="12" customHeight="1">
      <c r="A114" s="79" t="s">
        <v>32</v>
      </c>
      <c r="B114" s="136" t="s">
        <v>197</v>
      </c>
      <c r="C114" s="130"/>
      <c r="D114" s="86">
        <v>2.02</v>
      </c>
      <c r="E114" s="135">
        <v>316</v>
      </c>
      <c r="F114" s="76"/>
      <c r="G114" s="98">
        <f>ROUNDUP(F114/E114,0)</f>
        <v>0</v>
      </c>
      <c r="H114" s="81"/>
      <c r="I114" s="81"/>
      <c r="J114" s="83">
        <f>G114*53.52</f>
        <v>0</v>
      </c>
      <c r="K114" s="18"/>
      <c r="L114" s="4"/>
    </row>
    <row r="115" spans="1:12" s="3" customFormat="1" ht="12" customHeight="1">
      <c r="A115" s="80"/>
      <c r="B115" s="53" t="s">
        <v>270</v>
      </c>
      <c r="C115" s="16" t="s">
        <v>178</v>
      </c>
      <c r="D115" s="87"/>
      <c r="E115" s="134"/>
      <c r="F115" s="77"/>
      <c r="G115" s="99"/>
      <c r="H115" s="82"/>
      <c r="I115" s="82"/>
      <c r="J115" s="85"/>
      <c r="K115" s="18"/>
      <c r="L115" s="4"/>
    </row>
    <row r="116" spans="1:12" s="3" customFormat="1" ht="12" customHeight="1">
      <c r="A116" s="79" t="s">
        <v>2</v>
      </c>
      <c r="B116" s="88" t="s">
        <v>68</v>
      </c>
      <c r="C116" s="89"/>
      <c r="D116" s="86">
        <v>1.2</v>
      </c>
      <c r="E116" s="92">
        <v>250</v>
      </c>
      <c r="F116" s="76"/>
      <c r="G116" s="98">
        <f>ROUNDUP(F116/E116,0)</f>
        <v>0</v>
      </c>
      <c r="H116" s="81"/>
      <c r="I116" s="81"/>
      <c r="J116" s="83">
        <f>G116*26.75</f>
        <v>0</v>
      </c>
      <c r="K116" s="18"/>
      <c r="L116" s="4"/>
    </row>
    <row r="117" spans="1:12" s="3" customFormat="1" ht="12" customHeight="1">
      <c r="A117" s="118"/>
      <c r="B117" s="53" t="s">
        <v>165</v>
      </c>
      <c r="C117" s="16" t="s">
        <v>181</v>
      </c>
      <c r="D117" s="122"/>
      <c r="E117" s="94"/>
      <c r="F117" s="77"/>
      <c r="G117" s="99"/>
      <c r="H117" s="100"/>
      <c r="I117" s="100"/>
      <c r="J117" s="84"/>
      <c r="K117" s="18"/>
      <c r="L117" s="4"/>
    </row>
    <row r="118" spans="1:12" s="3" customFormat="1" ht="12" customHeight="1">
      <c r="A118" s="79" t="s">
        <v>3</v>
      </c>
      <c r="B118" s="88" t="s">
        <v>185</v>
      </c>
      <c r="C118" s="89"/>
      <c r="D118" s="86">
        <v>2.25</v>
      </c>
      <c r="E118" s="92">
        <v>140</v>
      </c>
      <c r="F118" s="76"/>
      <c r="G118" s="98">
        <f>ROUNDUP(F118/E118,0)</f>
        <v>0</v>
      </c>
      <c r="H118" s="81"/>
      <c r="I118" s="81"/>
      <c r="J118" s="83">
        <f>G118*26.34</f>
        <v>0</v>
      </c>
      <c r="K118" s="18"/>
      <c r="L118" s="4"/>
    </row>
    <row r="119" spans="1:12" s="3" customFormat="1" ht="12" customHeight="1">
      <c r="A119" s="80"/>
      <c r="B119" s="53" t="s">
        <v>215</v>
      </c>
      <c r="C119" s="16" t="s">
        <v>177</v>
      </c>
      <c r="D119" s="87"/>
      <c r="E119" s="93"/>
      <c r="F119" s="77"/>
      <c r="G119" s="99"/>
      <c r="H119" s="82"/>
      <c r="I119" s="82"/>
      <c r="J119" s="85"/>
      <c r="K119" s="18"/>
      <c r="L119" s="4"/>
    </row>
    <row r="120" spans="1:12" s="3" customFormat="1" ht="12" customHeight="1">
      <c r="A120" s="79" t="s">
        <v>34</v>
      </c>
      <c r="B120" s="88" t="s">
        <v>186</v>
      </c>
      <c r="C120" s="89"/>
      <c r="D120" s="86">
        <v>2.25</v>
      </c>
      <c r="E120" s="92">
        <v>105</v>
      </c>
      <c r="F120" s="76"/>
      <c r="G120" s="98">
        <f>ROUNDUP(F120/E120,0)</f>
        <v>0</v>
      </c>
      <c r="H120" s="81"/>
      <c r="I120" s="81"/>
      <c r="J120" s="83">
        <f>G120*19.76</f>
        <v>0</v>
      </c>
      <c r="K120" s="18"/>
      <c r="L120" s="4"/>
    </row>
    <row r="121" spans="1:12" s="3" customFormat="1" ht="12" customHeight="1">
      <c r="A121" s="80"/>
      <c r="B121" s="53" t="s">
        <v>216</v>
      </c>
      <c r="C121" s="16" t="s">
        <v>182</v>
      </c>
      <c r="D121" s="87"/>
      <c r="E121" s="93"/>
      <c r="F121" s="77"/>
      <c r="G121" s="99"/>
      <c r="H121" s="82"/>
      <c r="I121" s="82"/>
      <c r="J121" s="85"/>
      <c r="K121" s="18"/>
      <c r="L121" s="4"/>
    </row>
    <row r="122" spans="1:12" s="3" customFormat="1" ht="12" customHeight="1">
      <c r="A122" s="79" t="s">
        <v>56</v>
      </c>
      <c r="B122" s="88" t="s">
        <v>187</v>
      </c>
      <c r="C122" s="89"/>
      <c r="D122" s="86">
        <v>2.4</v>
      </c>
      <c r="E122" s="92">
        <v>150</v>
      </c>
      <c r="F122" s="76"/>
      <c r="G122" s="98">
        <f>ROUNDUP(F122/E122,0)</f>
        <v>0</v>
      </c>
      <c r="H122" s="81"/>
      <c r="I122" s="81"/>
      <c r="J122" s="83">
        <f>G122*30.11</f>
        <v>0</v>
      </c>
      <c r="K122" s="18"/>
      <c r="L122" s="4"/>
    </row>
    <row r="123" spans="1:12" s="3" customFormat="1" ht="12" customHeight="1">
      <c r="A123" s="80"/>
      <c r="B123" s="53" t="s">
        <v>219</v>
      </c>
      <c r="C123" s="16" t="s">
        <v>183</v>
      </c>
      <c r="D123" s="87"/>
      <c r="E123" s="93"/>
      <c r="F123" s="77"/>
      <c r="G123" s="99"/>
      <c r="H123" s="82"/>
      <c r="I123" s="82"/>
      <c r="J123" s="85"/>
      <c r="K123" s="18"/>
      <c r="L123" s="4"/>
    </row>
    <row r="124" spans="1:12" s="3" customFormat="1" ht="15.75" customHeight="1">
      <c r="A124" s="31" t="s">
        <v>16</v>
      </c>
      <c r="B124" s="88" t="s">
        <v>188</v>
      </c>
      <c r="C124" s="89"/>
      <c r="D124" s="86">
        <v>3</v>
      </c>
      <c r="E124" s="92">
        <v>90</v>
      </c>
      <c r="F124" s="76"/>
      <c r="G124" s="98">
        <f>ROUNDUP(F124/E124,0)</f>
        <v>0</v>
      </c>
      <c r="H124" s="81"/>
      <c r="I124" s="81"/>
      <c r="J124" s="83">
        <f>G124*22.58</f>
        <v>0</v>
      </c>
      <c r="K124" s="18"/>
      <c r="L124" s="4"/>
    </row>
    <row r="125" spans="1:12" s="3" customFormat="1" ht="15.75" customHeight="1">
      <c r="A125" s="66" t="s">
        <v>39</v>
      </c>
      <c r="B125" s="53" t="s">
        <v>217</v>
      </c>
      <c r="C125" s="16" t="s">
        <v>184</v>
      </c>
      <c r="D125" s="87"/>
      <c r="E125" s="93"/>
      <c r="F125" s="77"/>
      <c r="G125" s="99"/>
      <c r="H125" s="82"/>
      <c r="I125" s="82"/>
      <c r="J125" s="85"/>
      <c r="K125" s="18"/>
      <c r="L125" s="4"/>
    </row>
    <row r="126" spans="1:12" s="3" customFormat="1" ht="12" customHeight="1">
      <c r="A126" s="79" t="s">
        <v>46</v>
      </c>
      <c r="B126" s="88" t="s">
        <v>189</v>
      </c>
      <c r="C126" s="89"/>
      <c r="D126" s="86">
        <v>3</v>
      </c>
      <c r="E126" s="92">
        <v>160</v>
      </c>
      <c r="F126" s="76"/>
      <c r="G126" s="98">
        <f>ROUNDUP(F126/E126,0)</f>
        <v>0</v>
      </c>
      <c r="H126" s="81"/>
      <c r="I126" s="81"/>
      <c r="J126" s="83">
        <f>G126*40.14</f>
        <v>0</v>
      </c>
      <c r="K126" s="18"/>
      <c r="L126" s="4"/>
    </row>
    <row r="127" spans="1:12" s="3" customFormat="1" ht="12" customHeight="1">
      <c r="A127" s="80"/>
      <c r="B127" s="53" t="s">
        <v>218</v>
      </c>
      <c r="C127" s="16" t="s">
        <v>190</v>
      </c>
      <c r="D127" s="87"/>
      <c r="E127" s="93"/>
      <c r="F127" s="77"/>
      <c r="G127" s="99"/>
      <c r="H127" s="82"/>
      <c r="I127" s="82"/>
      <c r="J127" s="85"/>
      <c r="K127" s="18"/>
      <c r="L127" s="4"/>
    </row>
    <row r="128" spans="1:12" s="3" customFormat="1" ht="12" customHeight="1">
      <c r="A128" s="79" t="s">
        <v>267</v>
      </c>
      <c r="B128" s="88" t="s">
        <v>36</v>
      </c>
      <c r="C128" s="89"/>
      <c r="D128" s="86">
        <v>2.25</v>
      </c>
      <c r="E128" s="92">
        <v>148</v>
      </c>
      <c r="F128" s="76"/>
      <c r="G128" s="98">
        <f>ROUNDUP(F128/E128,0)</f>
        <v>0</v>
      </c>
      <c r="H128" s="81"/>
      <c r="I128" s="81"/>
      <c r="J128" s="83">
        <f>G128*21.65</f>
        <v>0</v>
      </c>
      <c r="K128" s="18"/>
      <c r="L128" s="4"/>
    </row>
    <row r="129" spans="1:12" s="3" customFormat="1" ht="12" customHeight="1">
      <c r="A129" s="80"/>
      <c r="B129" s="53" t="s">
        <v>241</v>
      </c>
      <c r="C129" s="16" t="s">
        <v>268</v>
      </c>
      <c r="D129" s="87"/>
      <c r="E129" s="93"/>
      <c r="F129" s="77"/>
      <c r="G129" s="99"/>
      <c r="H129" s="82"/>
      <c r="I129" s="82"/>
      <c r="J129" s="85"/>
      <c r="K129" s="18"/>
      <c r="L129" s="4"/>
    </row>
    <row r="130" spans="1:12" s="3" customFormat="1" ht="12" customHeight="1">
      <c r="A130" s="79" t="s">
        <v>269</v>
      </c>
      <c r="B130" s="88" t="s">
        <v>48</v>
      </c>
      <c r="C130" s="89"/>
      <c r="D130" s="86">
        <v>2.79</v>
      </c>
      <c r="E130" s="92">
        <v>148</v>
      </c>
      <c r="F130" s="76"/>
      <c r="G130" s="98">
        <f>ROUNDUP(F130/E130,0)</f>
        <v>0</v>
      </c>
      <c r="H130" s="81"/>
      <c r="I130" s="81"/>
      <c r="J130" s="83">
        <f>G130*21.65</f>
        <v>0</v>
      </c>
      <c r="K130" s="18"/>
      <c r="L130" s="4"/>
    </row>
    <row r="131" spans="1:12" s="3" customFormat="1" ht="12" customHeight="1">
      <c r="A131" s="80"/>
      <c r="B131" s="53" t="s">
        <v>241</v>
      </c>
      <c r="C131" s="16" t="s">
        <v>268</v>
      </c>
      <c r="D131" s="87"/>
      <c r="E131" s="93"/>
      <c r="F131" s="77"/>
      <c r="G131" s="99"/>
      <c r="H131" s="82"/>
      <c r="I131" s="82"/>
      <c r="J131" s="85"/>
      <c r="K131" s="18"/>
      <c r="L131" s="4"/>
    </row>
    <row r="132" spans="1:12" s="3" customFormat="1" ht="12" customHeight="1">
      <c r="A132" s="79" t="s">
        <v>10</v>
      </c>
      <c r="B132" s="88" t="s">
        <v>196</v>
      </c>
      <c r="C132" s="89"/>
      <c r="D132" s="86">
        <v>3</v>
      </c>
      <c r="E132" s="109">
        <v>213</v>
      </c>
      <c r="F132" s="76"/>
      <c r="G132" s="98">
        <f>ROUNDUP(F132/E132,0)</f>
        <v>0</v>
      </c>
      <c r="H132" s="81"/>
      <c r="I132" s="81"/>
      <c r="J132" s="83">
        <f>G132*31.64</f>
        <v>0</v>
      </c>
      <c r="K132" s="18"/>
      <c r="L132" s="4"/>
    </row>
    <row r="133" spans="1:12" s="3" customFormat="1" ht="12" customHeight="1" thickBot="1">
      <c r="A133" s="80"/>
      <c r="B133" s="17" t="s">
        <v>130</v>
      </c>
      <c r="C133" s="16" t="s">
        <v>35</v>
      </c>
      <c r="D133" s="87"/>
      <c r="E133" s="110"/>
      <c r="F133" s="77"/>
      <c r="G133" s="99"/>
      <c r="H133" s="82"/>
      <c r="I133" s="82"/>
      <c r="J133" s="85"/>
      <c r="K133" s="18"/>
      <c r="L133" s="4"/>
    </row>
    <row r="134" spans="1:13" s="13" customFormat="1" ht="18" customHeight="1" thickBot="1">
      <c r="A134" s="174" t="s">
        <v>23</v>
      </c>
      <c r="B134" s="175"/>
      <c r="C134" s="175"/>
      <c r="D134" s="175"/>
      <c r="E134" s="175"/>
      <c r="F134" s="175"/>
      <c r="G134" s="176"/>
      <c r="H134" s="41">
        <f>SUM(H92:H133)</f>
        <v>0</v>
      </c>
      <c r="I134" s="41">
        <f>SUM(I92:I133)</f>
        <v>0</v>
      </c>
      <c r="J134" s="41">
        <f>SUM(J92:J133)</f>
        <v>0</v>
      </c>
      <c r="K134" s="10"/>
      <c r="L134" s="42"/>
      <c r="M134" s="43"/>
    </row>
    <row r="135" spans="1:13" s="3" customFormat="1" ht="22.5" customHeight="1" thickBot="1">
      <c r="A135" s="126" t="s">
        <v>234</v>
      </c>
      <c r="B135" s="127"/>
      <c r="C135" s="127"/>
      <c r="D135" s="127"/>
      <c r="E135" s="127"/>
      <c r="F135" s="127"/>
      <c r="G135" s="127"/>
      <c r="H135" s="127"/>
      <c r="I135" s="127"/>
      <c r="J135" s="128"/>
      <c r="K135" s="38"/>
      <c r="L135" s="39"/>
      <c r="M135" s="40"/>
    </row>
    <row r="136" spans="1:12" s="3" customFormat="1" ht="12" customHeight="1">
      <c r="A136" s="79" t="s">
        <v>204</v>
      </c>
      <c r="B136" s="88" t="s">
        <v>229</v>
      </c>
      <c r="C136" s="89"/>
      <c r="D136" s="86">
        <v>2.25</v>
      </c>
      <c r="E136" s="92">
        <v>140</v>
      </c>
      <c r="F136" s="78"/>
      <c r="G136" s="98">
        <f aca="true" t="shared" si="4" ref="G136:G148">ROUNDUP(F136/E136,0)</f>
        <v>0</v>
      </c>
      <c r="H136" s="32"/>
      <c r="I136" s="32"/>
      <c r="J136" s="83">
        <f>G136*26.77</f>
        <v>0</v>
      </c>
      <c r="K136" s="18"/>
      <c r="L136" s="4"/>
    </row>
    <row r="137" spans="1:12" s="3" customFormat="1" ht="12" customHeight="1">
      <c r="A137" s="80"/>
      <c r="B137" s="51" t="s">
        <v>129</v>
      </c>
      <c r="C137" s="16" t="s">
        <v>211</v>
      </c>
      <c r="D137" s="87"/>
      <c r="E137" s="93"/>
      <c r="F137" s="77"/>
      <c r="G137" s="99"/>
      <c r="H137" s="61"/>
      <c r="I137" s="61"/>
      <c r="J137" s="85"/>
      <c r="K137" s="18"/>
      <c r="L137" s="4"/>
    </row>
    <row r="138" spans="1:12" s="3" customFormat="1" ht="12" customHeight="1">
      <c r="A138" s="79" t="s">
        <v>205</v>
      </c>
      <c r="B138" s="88" t="s">
        <v>228</v>
      </c>
      <c r="C138" s="89"/>
      <c r="D138" s="86">
        <v>2.25</v>
      </c>
      <c r="E138" s="92">
        <v>140</v>
      </c>
      <c r="F138" s="78"/>
      <c r="G138" s="98">
        <f t="shared" si="4"/>
        <v>0</v>
      </c>
      <c r="H138" s="32"/>
      <c r="I138" s="32"/>
      <c r="J138" s="83">
        <f>G138*26.74</f>
        <v>0</v>
      </c>
      <c r="K138" s="18"/>
      <c r="L138" s="4"/>
    </row>
    <row r="139" spans="1:12" s="3" customFormat="1" ht="12" customHeight="1">
      <c r="A139" s="80"/>
      <c r="B139" s="51" t="s">
        <v>129</v>
      </c>
      <c r="C139" s="16" t="s">
        <v>212</v>
      </c>
      <c r="D139" s="87"/>
      <c r="E139" s="93"/>
      <c r="F139" s="77"/>
      <c r="G139" s="99"/>
      <c r="H139" s="61"/>
      <c r="I139" s="61"/>
      <c r="J139" s="85"/>
      <c r="K139" s="18"/>
      <c r="L139" s="4"/>
    </row>
    <row r="140" spans="1:12" s="3" customFormat="1" ht="12" customHeight="1">
      <c r="A140" s="79" t="s">
        <v>206</v>
      </c>
      <c r="B140" s="88" t="s">
        <v>230</v>
      </c>
      <c r="C140" s="89"/>
      <c r="D140" s="86">
        <v>2.25</v>
      </c>
      <c r="E140" s="92">
        <v>140</v>
      </c>
      <c r="F140" s="78"/>
      <c r="G140" s="98">
        <f t="shared" si="4"/>
        <v>0</v>
      </c>
      <c r="H140" s="32"/>
      <c r="I140" s="32"/>
      <c r="J140" s="83">
        <f>G140*26.79</f>
        <v>0</v>
      </c>
      <c r="K140" s="18"/>
      <c r="L140" s="4"/>
    </row>
    <row r="141" spans="1:12" s="3" customFormat="1" ht="12" customHeight="1">
      <c r="A141" s="80"/>
      <c r="B141" s="51" t="s">
        <v>129</v>
      </c>
      <c r="C141" s="16" t="s">
        <v>213</v>
      </c>
      <c r="D141" s="87"/>
      <c r="E141" s="93"/>
      <c r="F141" s="77"/>
      <c r="G141" s="99"/>
      <c r="H141" s="61"/>
      <c r="I141" s="61"/>
      <c r="J141" s="85"/>
      <c r="K141" s="18"/>
      <c r="L141" s="4"/>
    </row>
    <row r="142" spans="1:12" s="3" customFormat="1" ht="12" customHeight="1">
      <c r="A142" s="79" t="s">
        <v>207</v>
      </c>
      <c r="B142" s="88" t="s">
        <v>231</v>
      </c>
      <c r="C142" s="89"/>
      <c r="D142" s="86">
        <v>1.2</v>
      </c>
      <c r="E142" s="92">
        <v>533</v>
      </c>
      <c r="F142" s="78"/>
      <c r="G142" s="98">
        <f t="shared" si="4"/>
        <v>0</v>
      </c>
      <c r="H142" s="32"/>
      <c r="I142" s="32"/>
      <c r="J142" s="83">
        <f>G142*54.38</f>
        <v>0</v>
      </c>
      <c r="K142" s="18"/>
      <c r="L142" s="4"/>
    </row>
    <row r="143" spans="1:12" s="3" customFormat="1" ht="12" customHeight="1">
      <c r="A143" s="80"/>
      <c r="B143" s="17" t="s">
        <v>220</v>
      </c>
      <c r="C143" s="16" t="s">
        <v>214</v>
      </c>
      <c r="D143" s="87"/>
      <c r="E143" s="93"/>
      <c r="F143" s="77"/>
      <c r="G143" s="99"/>
      <c r="H143" s="61"/>
      <c r="I143" s="61"/>
      <c r="J143" s="85"/>
      <c r="K143" s="18"/>
      <c r="L143" s="4"/>
    </row>
    <row r="144" spans="1:12" s="3" customFormat="1" ht="12" customHeight="1">
      <c r="A144" s="79" t="s">
        <v>208</v>
      </c>
      <c r="B144" s="88" t="s">
        <v>232</v>
      </c>
      <c r="C144" s="89"/>
      <c r="D144" s="86">
        <v>1.2</v>
      </c>
      <c r="E144" s="92">
        <v>250</v>
      </c>
      <c r="F144" s="78"/>
      <c r="G144" s="98">
        <f t="shared" si="4"/>
        <v>0</v>
      </c>
      <c r="H144" s="32"/>
      <c r="I144" s="32"/>
      <c r="J144" s="83">
        <f>G144*24.82</f>
        <v>0</v>
      </c>
      <c r="K144" s="18"/>
      <c r="L144" s="4"/>
    </row>
    <row r="145" spans="1:12" s="3" customFormat="1" ht="12" customHeight="1">
      <c r="A145" s="80"/>
      <c r="B145" s="51" t="s">
        <v>221</v>
      </c>
      <c r="C145" s="16" t="s">
        <v>222</v>
      </c>
      <c r="D145" s="87"/>
      <c r="E145" s="93"/>
      <c r="F145" s="77"/>
      <c r="G145" s="99"/>
      <c r="H145" s="61"/>
      <c r="I145" s="61"/>
      <c r="J145" s="85"/>
      <c r="K145" s="18"/>
      <c r="L145" s="4"/>
    </row>
    <row r="146" spans="1:12" s="3" customFormat="1" ht="12" customHeight="1">
      <c r="A146" s="79" t="s">
        <v>209</v>
      </c>
      <c r="B146" s="88" t="s">
        <v>233</v>
      </c>
      <c r="C146" s="89"/>
      <c r="D146" s="86">
        <v>2.01</v>
      </c>
      <c r="E146" s="92">
        <v>318</v>
      </c>
      <c r="F146" s="78"/>
      <c r="G146" s="98">
        <f t="shared" si="4"/>
        <v>0</v>
      </c>
      <c r="H146" s="32"/>
      <c r="I146" s="32"/>
      <c r="J146" s="83">
        <f>G146*51.86</f>
        <v>0</v>
      </c>
      <c r="K146" s="18"/>
      <c r="L146" s="4"/>
    </row>
    <row r="147" spans="1:12" s="3" customFormat="1" ht="12" customHeight="1">
      <c r="A147" s="80"/>
      <c r="B147" s="17" t="s">
        <v>226</v>
      </c>
      <c r="C147" s="16" t="s">
        <v>223</v>
      </c>
      <c r="D147" s="87"/>
      <c r="E147" s="93"/>
      <c r="F147" s="77"/>
      <c r="G147" s="99"/>
      <c r="H147" s="61"/>
      <c r="I147" s="32"/>
      <c r="J147" s="85"/>
      <c r="K147" s="18"/>
      <c r="L147" s="4"/>
    </row>
    <row r="148" spans="1:12" s="3" customFormat="1" ht="12" customHeight="1">
      <c r="A148" s="79" t="s">
        <v>210</v>
      </c>
      <c r="B148" s="88" t="s">
        <v>260</v>
      </c>
      <c r="C148" s="89"/>
      <c r="D148" s="122">
        <v>2.01</v>
      </c>
      <c r="E148" s="133">
        <v>318</v>
      </c>
      <c r="F148" s="76"/>
      <c r="G148" s="98">
        <f t="shared" si="4"/>
        <v>0</v>
      </c>
      <c r="H148" s="100"/>
      <c r="I148" s="81"/>
      <c r="J148" s="83">
        <f>G148*51.43</f>
        <v>0</v>
      </c>
      <c r="K148" s="18"/>
      <c r="L148" s="4"/>
    </row>
    <row r="149" spans="1:12" s="3" customFormat="1" ht="12" customHeight="1" thickBot="1">
      <c r="A149" s="80"/>
      <c r="B149" s="17" t="s">
        <v>225</v>
      </c>
      <c r="C149" s="16" t="s">
        <v>224</v>
      </c>
      <c r="D149" s="87"/>
      <c r="E149" s="134"/>
      <c r="F149" s="77"/>
      <c r="G149" s="99"/>
      <c r="H149" s="100"/>
      <c r="I149" s="100"/>
      <c r="J149" s="84"/>
      <c r="K149" s="18"/>
      <c r="L149" s="4"/>
    </row>
    <row r="150" spans="1:13" s="13" customFormat="1" ht="18" customHeight="1" thickBot="1">
      <c r="A150" s="174" t="s">
        <v>235</v>
      </c>
      <c r="B150" s="175"/>
      <c r="C150" s="175"/>
      <c r="D150" s="175"/>
      <c r="E150" s="175"/>
      <c r="F150" s="175"/>
      <c r="G150" s="176"/>
      <c r="H150" s="41">
        <f>SUM(H136:H149)</f>
        <v>0</v>
      </c>
      <c r="I150" s="41">
        <f>SUM(I136:I149)</f>
        <v>0</v>
      </c>
      <c r="J150" s="41">
        <f>SUM(J136:J149)</f>
        <v>0</v>
      </c>
      <c r="K150" s="10"/>
      <c r="L150" s="42"/>
      <c r="M150" s="43"/>
    </row>
    <row r="151" spans="1:17" ht="11.25" customHeight="1" thickBot="1">
      <c r="A151" s="104"/>
      <c r="B151" s="105"/>
      <c r="C151" s="105"/>
      <c r="D151" s="105"/>
      <c r="E151" s="105"/>
      <c r="F151" s="105"/>
      <c r="G151" s="105"/>
      <c r="H151" s="105"/>
      <c r="I151" s="105"/>
      <c r="J151" s="106"/>
      <c r="K151" s="11"/>
      <c r="L151" s="6"/>
      <c r="M151" s="7"/>
      <c r="N151" s="1"/>
      <c r="O151" s="1"/>
      <c r="P151" s="1"/>
      <c r="Q151" s="1"/>
    </row>
    <row r="152" spans="1:17" ht="18" customHeight="1">
      <c r="A152" s="114" t="s">
        <v>24</v>
      </c>
      <c r="B152" s="115"/>
      <c r="C152" s="115"/>
      <c r="D152" s="115"/>
      <c r="E152" s="115"/>
      <c r="F152" s="115"/>
      <c r="G152" s="115"/>
      <c r="H152" s="116"/>
      <c r="I152" s="116"/>
      <c r="J152" s="117"/>
      <c r="K152" s="5"/>
      <c r="L152" s="6"/>
      <c r="M152" s="7"/>
      <c r="N152" s="1"/>
      <c r="O152" s="1"/>
      <c r="P152" s="1"/>
      <c r="Q152" s="1"/>
    </row>
    <row r="153" spans="1:13" s="3" customFormat="1" ht="15.75" customHeight="1">
      <c r="A153" s="119" t="s">
        <v>17</v>
      </c>
      <c r="B153" s="120"/>
      <c r="C153" s="120"/>
      <c r="D153" s="120"/>
      <c r="E153" s="120"/>
      <c r="F153" s="120"/>
      <c r="G153" s="121"/>
      <c r="H153" s="36">
        <f>H62</f>
        <v>0</v>
      </c>
      <c r="I153" s="44">
        <f>I62</f>
        <v>0</v>
      </c>
      <c r="J153" s="45">
        <f>J62</f>
        <v>0</v>
      </c>
      <c r="K153" s="11"/>
      <c r="L153" s="6"/>
      <c r="M153" s="7"/>
    </row>
    <row r="154" spans="1:13" s="3" customFormat="1" ht="15.75" customHeight="1">
      <c r="A154" s="119" t="s">
        <v>13</v>
      </c>
      <c r="B154" s="120"/>
      <c r="C154" s="120"/>
      <c r="D154" s="120"/>
      <c r="E154" s="120"/>
      <c r="F154" s="120"/>
      <c r="G154" s="121"/>
      <c r="H154" s="37">
        <f>H90</f>
        <v>0</v>
      </c>
      <c r="I154" s="37">
        <f>I90</f>
        <v>0</v>
      </c>
      <c r="J154" s="46">
        <f>J90</f>
        <v>0</v>
      </c>
      <c r="K154" s="11"/>
      <c r="L154" s="6"/>
      <c r="M154" s="7"/>
    </row>
    <row r="155" spans="1:13" s="3" customFormat="1" ht="15.75" customHeight="1">
      <c r="A155" s="119" t="s">
        <v>22</v>
      </c>
      <c r="B155" s="120"/>
      <c r="C155" s="120"/>
      <c r="D155" s="120"/>
      <c r="E155" s="120"/>
      <c r="F155" s="120"/>
      <c r="G155" s="121"/>
      <c r="H155" s="37">
        <f>H134</f>
        <v>0</v>
      </c>
      <c r="I155" s="37">
        <f>I134</f>
        <v>0</v>
      </c>
      <c r="J155" s="46">
        <f>J134</f>
        <v>0</v>
      </c>
      <c r="K155" s="11"/>
      <c r="L155" s="6"/>
      <c r="M155" s="7"/>
    </row>
    <row r="156" spans="1:17" s="3" customFormat="1" ht="15.75" customHeight="1" thickBot="1">
      <c r="A156" s="74" t="s">
        <v>261</v>
      </c>
      <c r="B156" s="73" t="s">
        <v>255</v>
      </c>
      <c r="C156" s="70"/>
      <c r="D156" s="70"/>
      <c r="E156" s="70"/>
      <c r="F156" s="70"/>
      <c r="G156" s="71" t="s">
        <v>236</v>
      </c>
      <c r="H156" s="72">
        <f>H150</f>
        <v>0</v>
      </c>
      <c r="I156" s="37">
        <f>I150</f>
        <v>0</v>
      </c>
      <c r="J156" s="46">
        <f>J150</f>
        <v>0</v>
      </c>
      <c r="K156" s="11"/>
      <c r="L156" s="6"/>
      <c r="M156" s="7"/>
      <c r="N156" s="47"/>
      <c r="O156" s="47"/>
      <c r="P156" s="47"/>
      <c r="Q156" s="47"/>
    </row>
    <row r="157" spans="1:13" s="3" customFormat="1" ht="20.25" customHeight="1" thickBot="1">
      <c r="A157" s="111" t="s">
        <v>14</v>
      </c>
      <c r="B157" s="112"/>
      <c r="C157" s="112"/>
      <c r="D157" s="112"/>
      <c r="E157" s="112"/>
      <c r="F157" s="112"/>
      <c r="G157" s="113"/>
      <c r="H157" s="48">
        <f>SUM(H153:H156)</f>
        <v>0</v>
      </c>
      <c r="I157" s="48">
        <f>SUM(I153:I156)</f>
        <v>0</v>
      </c>
      <c r="J157" s="49">
        <f>SUM(J153:J156)</f>
        <v>0</v>
      </c>
      <c r="K157" s="40"/>
      <c r="L157" s="50"/>
      <c r="M157" s="47"/>
    </row>
    <row r="158" spans="1:17" ht="13.5" thickBot="1">
      <c r="A158" s="104"/>
      <c r="B158" s="105"/>
      <c r="C158" s="105"/>
      <c r="D158" s="105"/>
      <c r="E158" s="105"/>
      <c r="F158" s="105"/>
      <c r="G158" s="105"/>
      <c r="H158" s="105"/>
      <c r="I158" s="105"/>
      <c r="J158" s="106"/>
      <c r="K158" s="7"/>
      <c r="N158" s="1"/>
      <c r="O158" s="1"/>
      <c r="P158" s="1"/>
      <c r="Q158" s="1"/>
    </row>
    <row r="159" spans="1:10" ht="19.5" customHeight="1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</row>
  </sheetData>
  <sheetProtection password="CCF9" sheet="1" selectLockedCells="1"/>
  <mergeCells count="589">
    <mergeCell ref="F39:F40"/>
    <mergeCell ref="B39:C39"/>
    <mergeCell ref="D39:D40"/>
    <mergeCell ref="A41:A42"/>
    <mergeCell ref="B41:C41"/>
    <mergeCell ref="D41:D42"/>
    <mergeCell ref="E41:E42"/>
    <mergeCell ref="F41:F42"/>
    <mergeCell ref="G41:G42"/>
    <mergeCell ref="G37:G38"/>
    <mergeCell ref="I41:I42"/>
    <mergeCell ref="H37:H38"/>
    <mergeCell ref="I37:I38"/>
    <mergeCell ref="J37:J38"/>
    <mergeCell ref="H41:H42"/>
    <mergeCell ref="G39:G40"/>
    <mergeCell ref="J41:J42"/>
    <mergeCell ref="I39:I40"/>
    <mergeCell ref="J39:J40"/>
    <mergeCell ref="I8:I10"/>
    <mergeCell ref="A33:A34"/>
    <mergeCell ref="F37:F38"/>
    <mergeCell ref="I22:I23"/>
    <mergeCell ref="E22:E23"/>
    <mergeCell ref="B84:C84"/>
    <mergeCell ref="D84:D85"/>
    <mergeCell ref="E52:E53"/>
    <mergeCell ref="E68:E69"/>
    <mergeCell ref="A39:A40"/>
    <mergeCell ref="E39:E40"/>
    <mergeCell ref="A150:G150"/>
    <mergeCell ref="A155:G155"/>
    <mergeCell ref="I94:I95"/>
    <mergeCell ref="I92:I93"/>
    <mergeCell ref="J96:J97"/>
    <mergeCell ref="E48:E49"/>
    <mergeCell ref="B46:C46"/>
    <mergeCell ref="D46:D47"/>
    <mergeCell ref="A54:A55"/>
    <mergeCell ref="J8:J10"/>
    <mergeCell ref="A90:G90"/>
    <mergeCell ref="A154:G154"/>
    <mergeCell ref="A135:J135"/>
    <mergeCell ref="A134:G134"/>
    <mergeCell ref="D64:D65"/>
    <mergeCell ref="A64:A65"/>
    <mergeCell ref="D58:D59"/>
    <mergeCell ref="E58:E59"/>
    <mergeCell ref="D66:D67"/>
    <mergeCell ref="A159:J159"/>
    <mergeCell ref="E72:E73"/>
    <mergeCell ref="B76:C76"/>
    <mergeCell ref="I130:I131"/>
    <mergeCell ref="J130:J131"/>
    <mergeCell ref="A45:J45"/>
    <mergeCell ref="J58:J59"/>
    <mergeCell ref="G52:G53"/>
    <mergeCell ref="D52:D53"/>
    <mergeCell ref="E56:E57"/>
    <mergeCell ref="J54:J55"/>
    <mergeCell ref="J33:J34"/>
    <mergeCell ref="A37:A38"/>
    <mergeCell ref="B37:C37"/>
    <mergeCell ref="E20:E21"/>
    <mergeCell ref="D28:D29"/>
    <mergeCell ref="G22:G23"/>
    <mergeCell ref="D24:D25"/>
    <mergeCell ref="E28:E29"/>
    <mergeCell ref="D37:D38"/>
    <mergeCell ref="E37:E38"/>
    <mergeCell ref="J20:J21"/>
    <mergeCell ref="J70:J71"/>
    <mergeCell ref="J24:J25"/>
    <mergeCell ref="H39:H40"/>
    <mergeCell ref="G26:G27"/>
    <mergeCell ref="H68:H69"/>
    <mergeCell ref="I70:I71"/>
    <mergeCell ref="G66:G67"/>
    <mergeCell ref="G68:G69"/>
    <mergeCell ref="B26:C26"/>
    <mergeCell ref="D22:D23"/>
    <mergeCell ref="B24:C24"/>
    <mergeCell ref="E24:E25"/>
    <mergeCell ref="D26:D27"/>
    <mergeCell ref="J64:J65"/>
    <mergeCell ref="G64:G65"/>
    <mergeCell ref="I64:I65"/>
    <mergeCell ref="I28:I29"/>
    <mergeCell ref="G58:G59"/>
    <mergeCell ref="I148:I149"/>
    <mergeCell ref="J118:J119"/>
    <mergeCell ref="G112:G113"/>
    <mergeCell ref="J112:J113"/>
    <mergeCell ref="J128:J129"/>
    <mergeCell ref="J98:J99"/>
    <mergeCell ref="J100:J101"/>
    <mergeCell ref="J102:J103"/>
    <mergeCell ref="I102:I103"/>
    <mergeCell ref="I110:I111"/>
    <mergeCell ref="B110:C110"/>
    <mergeCell ref="J74:J75"/>
    <mergeCell ref="G74:G75"/>
    <mergeCell ref="J66:J67"/>
    <mergeCell ref="H94:H95"/>
    <mergeCell ref="H88:H89"/>
    <mergeCell ref="G96:G97"/>
    <mergeCell ref="J82:J83"/>
    <mergeCell ref="J84:J85"/>
    <mergeCell ref="E70:E71"/>
    <mergeCell ref="B20:C20"/>
    <mergeCell ref="D20:D21"/>
    <mergeCell ref="G72:G73"/>
    <mergeCell ref="B28:C28"/>
    <mergeCell ref="G102:G103"/>
    <mergeCell ref="I20:I21"/>
    <mergeCell ref="G56:G57"/>
    <mergeCell ref="H56:H57"/>
    <mergeCell ref="E26:E27"/>
    <mergeCell ref="H58:H59"/>
    <mergeCell ref="H66:H67"/>
    <mergeCell ref="B56:C56"/>
    <mergeCell ref="D56:D57"/>
    <mergeCell ref="I46:I47"/>
    <mergeCell ref="G54:G55"/>
    <mergeCell ref="F54:F55"/>
    <mergeCell ref="A62:G62"/>
    <mergeCell ref="B58:C58"/>
    <mergeCell ref="B66:C66"/>
    <mergeCell ref="H52:H53"/>
    <mergeCell ref="J86:J87"/>
    <mergeCell ref="H84:H85"/>
    <mergeCell ref="J76:J77"/>
    <mergeCell ref="J72:J73"/>
    <mergeCell ref="I82:I83"/>
    <mergeCell ref="G84:G85"/>
    <mergeCell ref="G78:G79"/>
    <mergeCell ref="H72:H73"/>
    <mergeCell ref="G86:G87"/>
    <mergeCell ref="I86:I87"/>
    <mergeCell ref="E112:E113"/>
    <mergeCell ref="B18:C18"/>
    <mergeCell ref="A22:A23"/>
    <mergeCell ref="B22:C22"/>
    <mergeCell ref="I88:I89"/>
    <mergeCell ref="H108:H109"/>
    <mergeCell ref="H24:H25"/>
    <mergeCell ref="G28:G29"/>
    <mergeCell ref="D96:D97"/>
    <mergeCell ref="A20:A21"/>
    <mergeCell ref="D104:D105"/>
    <mergeCell ref="A91:J91"/>
    <mergeCell ref="G92:G93"/>
    <mergeCell ref="A76:A77"/>
    <mergeCell ref="I74:I75"/>
    <mergeCell ref="E88:E89"/>
    <mergeCell ref="G104:G105"/>
    <mergeCell ref="E82:E83"/>
    <mergeCell ref="H96:H97"/>
    <mergeCell ref="I84:I85"/>
    <mergeCell ref="D112:D113"/>
    <mergeCell ref="A112:A113"/>
    <mergeCell ref="B92:C92"/>
    <mergeCell ref="D86:D87"/>
    <mergeCell ref="D88:D89"/>
    <mergeCell ref="D102:D103"/>
    <mergeCell ref="B106:C106"/>
    <mergeCell ref="D106:D107"/>
    <mergeCell ref="B104:C104"/>
    <mergeCell ref="A110:A111"/>
    <mergeCell ref="B120:C120"/>
    <mergeCell ref="A114:A115"/>
    <mergeCell ref="D118:D119"/>
    <mergeCell ref="D122:D123"/>
    <mergeCell ref="D116:D117"/>
    <mergeCell ref="D120:D121"/>
    <mergeCell ref="A116:A117"/>
    <mergeCell ref="B118:C118"/>
    <mergeCell ref="G8:G12"/>
    <mergeCell ref="D82:D83"/>
    <mergeCell ref="I76:I77"/>
    <mergeCell ref="G80:G81"/>
    <mergeCell ref="D76:D77"/>
    <mergeCell ref="D80:D81"/>
    <mergeCell ref="G82:G83"/>
    <mergeCell ref="D18:D19"/>
    <mergeCell ref="D14:D15"/>
    <mergeCell ref="D16:D17"/>
    <mergeCell ref="D72:D73"/>
    <mergeCell ref="A5:B6"/>
    <mergeCell ref="A7:B7"/>
    <mergeCell ref="A70:A71"/>
    <mergeCell ref="D70:D71"/>
    <mergeCell ref="D8:D12"/>
    <mergeCell ref="A18:A19"/>
    <mergeCell ref="A16:A17"/>
    <mergeCell ref="B16:C16"/>
    <mergeCell ref="C4:I6"/>
    <mergeCell ref="H8:H10"/>
    <mergeCell ref="I66:I67"/>
    <mergeCell ref="I11:I12"/>
    <mergeCell ref="A8:A12"/>
    <mergeCell ref="B8:C12"/>
    <mergeCell ref="A13:J13"/>
    <mergeCell ref="H11:H12"/>
    <mergeCell ref="E8:E12"/>
    <mergeCell ref="B14:C14"/>
    <mergeCell ref="A24:A25"/>
    <mergeCell ref="J11:J12"/>
    <mergeCell ref="J88:J89"/>
    <mergeCell ref="B88:C88"/>
    <mergeCell ref="H70:H71"/>
    <mergeCell ref="G70:G71"/>
    <mergeCell ref="J18:J19"/>
    <mergeCell ref="I16:I17"/>
    <mergeCell ref="J16:J17"/>
    <mergeCell ref="J56:J57"/>
    <mergeCell ref="J31:J32"/>
    <mergeCell ref="B72:C72"/>
    <mergeCell ref="D94:D95"/>
    <mergeCell ref="J94:J95"/>
    <mergeCell ref="A92:A93"/>
    <mergeCell ref="H92:H93"/>
    <mergeCell ref="D74:D75"/>
    <mergeCell ref="E94:E95"/>
    <mergeCell ref="E74:E75"/>
    <mergeCell ref="I80:I81"/>
    <mergeCell ref="H74:H75"/>
    <mergeCell ref="A96:A97"/>
    <mergeCell ref="I98:I99"/>
    <mergeCell ref="I96:I97"/>
    <mergeCell ref="E96:E97"/>
    <mergeCell ref="H98:H99"/>
    <mergeCell ref="A158:J158"/>
    <mergeCell ref="A98:A99"/>
    <mergeCell ref="D98:D99"/>
    <mergeCell ref="A118:A119"/>
    <mergeCell ref="A120:A121"/>
    <mergeCell ref="D100:D101"/>
    <mergeCell ref="E100:E101"/>
    <mergeCell ref="G100:G101"/>
    <mergeCell ref="I100:I101"/>
    <mergeCell ref="B100:C100"/>
    <mergeCell ref="H100:H101"/>
    <mergeCell ref="B128:C128"/>
    <mergeCell ref="E108:E109"/>
    <mergeCell ref="E122:E123"/>
    <mergeCell ref="D124:D125"/>
    <mergeCell ref="B114:C114"/>
    <mergeCell ref="B112:C112"/>
    <mergeCell ref="E110:E111"/>
    <mergeCell ref="E116:E117"/>
    <mergeCell ref="B124:C124"/>
    <mergeCell ref="E120:E121"/>
    <mergeCell ref="I104:I105"/>
    <mergeCell ref="J122:J123"/>
    <mergeCell ref="J110:J111"/>
    <mergeCell ref="I112:I113"/>
    <mergeCell ref="I114:I115"/>
    <mergeCell ref="J114:J115"/>
    <mergeCell ref="J104:J105"/>
    <mergeCell ref="J108:J109"/>
    <mergeCell ref="G118:G119"/>
    <mergeCell ref="G110:G111"/>
    <mergeCell ref="G130:G131"/>
    <mergeCell ref="G114:G115"/>
    <mergeCell ref="G120:G121"/>
    <mergeCell ref="H116:H117"/>
    <mergeCell ref="H114:H115"/>
    <mergeCell ref="G122:G123"/>
    <mergeCell ref="H110:H111"/>
    <mergeCell ref="H112:H113"/>
    <mergeCell ref="H148:H149"/>
    <mergeCell ref="H126:H127"/>
    <mergeCell ref="J120:J121"/>
    <mergeCell ref="H120:H121"/>
    <mergeCell ref="J126:J127"/>
    <mergeCell ref="G126:G127"/>
    <mergeCell ref="G124:G125"/>
    <mergeCell ref="I124:I125"/>
    <mergeCell ref="H128:H129"/>
    <mergeCell ref="J136:J137"/>
    <mergeCell ref="A130:A131"/>
    <mergeCell ref="B130:C130"/>
    <mergeCell ref="E118:E119"/>
    <mergeCell ref="H124:H125"/>
    <mergeCell ref="H118:H119"/>
    <mergeCell ref="G116:G117"/>
    <mergeCell ref="F122:F123"/>
    <mergeCell ref="E128:E129"/>
    <mergeCell ref="G128:G129"/>
    <mergeCell ref="H130:H131"/>
    <mergeCell ref="I128:I129"/>
    <mergeCell ref="E148:E149"/>
    <mergeCell ref="D126:D127"/>
    <mergeCell ref="E126:E127"/>
    <mergeCell ref="E124:E125"/>
    <mergeCell ref="D114:D115"/>
    <mergeCell ref="E114:E115"/>
    <mergeCell ref="E130:E131"/>
    <mergeCell ref="D130:D131"/>
    <mergeCell ref="G142:G143"/>
    <mergeCell ref="B96:C96"/>
    <mergeCell ref="D68:D69"/>
    <mergeCell ref="A108:A109"/>
    <mergeCell ref="B102:C102"/>
    <mergeCell ref="B108:C108"/>
    <mergeCell ref="A80:A81"/>
    <mergeCell ref="A72:A73"/>
    <mergeCell ref="B74:C74"/>
    <mergeCell ref="A94:A95"/>
    <mergeCell ref="A100:A101"/>
    <mergeCell ref="D110:D111"/>
    <mergeCell ref="A68:A69"/>
    <mergeCell ref="B98:C98"/>
    <mergeCell ref="A78:A79"/>
    <mergeCell ref="B86:C86"/>
    <mergeCell ref="A122:A123"/>
    <mergeCell ref="A102:A103"/>
    <mergeCell ref="B78:C78"/>
    <mergeCell ref="D92:D93"/>
    <mergeCell ref="A104:A105"/>
    <mergeCell ref="G108:G109"/>
    <mergeCell ref="E80:E81"/>
    <mergeCell ref="D54:D55"/>
    <mergeCell ref="E66:E67"/>
    <mergeCell ref="F78:F79"/>
    <mergeCell ref="D78:D79"/>
    <mergeCell ref="E102:E103"/>
    <mergeCell ref="E98:E99"/>
    <mergeCell ref="D108:D109"/>
    <mergeCell ref="E60:E61"/>
    <mergeCell ref="I56:I57"/>
    <mergeCell ref="H64:H65"/>
    <mergeCell ref="A106:A107"/>
    <mergeCell ref="B68:C68"/>
    <mergeCell ref="A82:A83"/>
    <mergeCell ref="A74:A75"/>
    <mergeCell ref="H102:H103"/>
    <mergeCell ref="B70:C70"/>
    <mergeCell ref="B80:C80"/>
    <mergeCell ref="F106:F107"/>
    <mergeCell ref="I14:I15"/>
    <mergeCell ref="J48:J49"/>
    <mergeCell ref="J14:J15"/>
    <mergeCell ref="I31:I32"/>
    <mergeCell ref="J28:J29"/>
    <mergeCell ref="J26:J27"/>
    <mergeCell ref="J22:J23"/>
    <mergeCell ref="I18:I19"/>
    <mergeCell ref="I33:I34"/>
    <mergeCell ref="I35:I36"/>
    <mergeCell ref="H31:H32"/>
    <mergeCell ref="H46:H47"/>
    <mergeCell ref="H54:H55"/>
    <mergeCell ref="E86:E87"/>
    <mergeCell ref="G76:G77"/>
    <mergeCell ref="H76:H77"/>
    <mergeCell ref="H80:H81"/>
    <mergeCell ref="H82:H83"/>
    <mergeCell ref="H48:H49"/>
    <mergeCell ref="F64:F65"/>
    <mergeCell ref="A46:A47"/>
    <mergeCell ref="A52:A53"/>
    <mergeCell ref="A63:J63"/>
    <mergeCell ref="B52:C52"/>
    <mergeCell ref="B54:C54"/>
    <mergeCell ref="G48:G49"/>
    <mergeCell ref="G46:G47"/>
    <mergeCell ref="B48:C48"/>
    <mergeCell ref="J52:J53"/>
    <mergeCell ref="I48:I49"/>
    <mergeCell ref="I50:I51"/>
    <mergeCell ref="J50:J51"/>
    <mergeCell ref="H50:H51"/>
    <mergeCell ref="G132:G133"/>
    <mergeCell ref="E43:E44"/>
    <mergeCell ref="E46:E47"/>
    <mergeCell ref="G50:G51"/>
    <mergeCell ref="F46:F47"/>
    <mergeCell ref="E64:E65"/>
    <mergeCell ref="J46:J47"/>
    <mergeCell ref="G31:G32"/>
    <mergeCell ref="B31:C31"/>
    <mergeCell ref="I132:I133"/>
    <mergeCell ref="J132:J133"/>
    <mergeCell ref="J68:J69"/>
    <mergeCell ref="I78:I79"/>
    <mergeCell ref="I72:I73"/>
    <mergeCell ref="I108:I109"/>
    <mergeCell ref="I52:I53"/>
    <mergeCell ref="H33:H34"/>
    <mergeCell ref="A48:A49"/>
    <mergeCell ref="A50:A51"/>
    <mergeCell ref="A60:A61"/>
    <mergeCell ref="F76:F77"/>
    <mergeCell ref="A132:A133"/>
    <mergeCell ref="B132:C132"/>
    <mergeCell ref="A128:A129"/>
    <mergeCell ref="D128:D129"/>
    <mergeCell ref="B116:C116"/>
    <mergeCell ref="E106:E107"/>
    <mergeCell ref="J148:J149"/>
    <mergeCell ref="B138:C138"/>
    <mergeCell ref="B140:C140"/>
    <mergeCell ref="B142:C142"/>
    <mergeCell ref="B144:C144"/>
    <mergeCell ref="A148:A149"/>
    <mergeCell ref="D148:D149"/>
    <mergeCell ref="B148:C148"/>
    <mergeCell ref="D140:D141"/>
    <mergeCell ref="G148:G149"/>
    <mergeCell ref="A157:G157"/>
    <mergeCell ref="A152:J152"/>
    <mergeCell ref="I54:I55"/>
    <mergeCell ref="I116:I117"/>
    <mergeCell ref="A66:A67"/>
    <mergeCell ref="I58:I59"/>
    <mergeCell ref="A58:A59"/>
    <mergeCell ref="A153:G153"/>
    <mergeCell ref="I68:I69"/>
    <mergeCell ref="B136:C136"/>
    <mergeCell ref="B146:C146"/>
    <mergeCell ref="G136:G137"/>
    <mergeCell ref="D136:D137"/>
    <mergeCell ref="E136:E137"/>
    <mergeCell ref="F110:F111"/>
    <mergeCell ref="E140:E141"/>
    <mergeCell ref="D142:D143"/>
    <mergeCell ref="D132:D133"/>
    <mergeCell ref="E132:E133"/>
    <mergeCell ref="F132:F133"/>
    <mergeCell ref="H14:H15"/>
    <mergeCell ref="G24:G25"/>
    <mergeCell ref="G14:G15"/>
    <mergeCell ref="H26:H27"/>
    <mergeCell ref="G20:G21"/>
    <mergeCell ref="H20:H21"/>
    <mergeCell ref="G18:G19"/>
    <mergeCell ref="H18:H19"/>
    <mergeCell ref="H16:H17"/>
    <mergeCell ref="H22:H23"/>
    <mergeCell ref="H28:H29"/>
    <mergeCell ref="E92:E93"/>
    <mergeCell ref="H86:H87"/>
    <mergeCell ref="D48:D49"/>
    <mergeCell ref="H132:H133"/>
    <mergeCell ref="F70:F71"/>
    <mergeCell ref="F72:F73"/>
    <mergeCell ref="F74:F75"/>
    <mergeCell ref="E54:E55"/>
    <mergeCell ref="F104:F105"/>
    <mergeCell ref="F108:F109"/>
    <mergeCell ref="E76:E77"/>
    <mergeCell ref="F88:F89"/>
    <mergeCell ref="F92:F93"/>
    <mergeCell ref="E84:E85"/>
    <mergeCell ref="F96:F97"/>
    <mergeCell ref="G88:G89"/>
    <mergeCell ref="H104:H105"/>
    <mergeCell ref="G98:G99"/>
    <mergeCell ref="A43:A44"/>
    <mergeCell ref="I24:I25"/>
    <mergeCell ref="I26:I27"/>
    <mergeCell ref="G33:G34"/>
    <mergeCell ref="D50:D51"/>
    <mergeCell ref="B33:C33"/>
    <mergeCell ref="F48:F49"/>
    <mergeCell ref="H43:H44"/>
    <mergeCell ref="D31:D32"/>
    <mergeCell ref="D33:D34"/>
    <mergeCell ref="A151:J151"/>
    <mergeCell ref="B122:C122"/>
    <mergeCell ref="I106:I107"/>
    <mergeCell ref="J106:J107"/>
    <mergeCell ref="H106:H107"/>
    <mergeCell ref="B60:C60"/>
    <mergeCell ref="D60:D61"/>
    <mergeCell ref="J138:J139"/>
    <mergeCell ref="J140:J141"/>
    <mergeCell ref="F50:F51"/>
    <mergeCell ref="F52:F53"/>
    <mergeCell ref="B50:C50"/>
    <mergeCell ref="E16:E17"/>
    <mergeCell ref="G16:G17"/>
    <mergeCell ref="E31:E32"/>
    <mergeCell ref="E33:E34"/>
    <mergeCell ref="A30:J30"/>
    <mergeCell ref="A31:A32"/>
    <mergeCell ref="J142:J143"/>
    <mergeCell ref="E138:E139"/>
    <mergeCell ref="F102:F103"/>
    <mergeCell ref="I126:I127"/>
    <mergeCell ref="H122:H123"/>
    <mergeCell ref="I122:I123"/>
    <mergeCell ref="G138:G139"/>
    <mergeCell ref="E104:E105"/>
    <mergeCell ref="E142:E143"/>
    <mergeCell ref="G106:G107"/>
    <mergeCell ref="G144:G145"/>
    <mergeCell ref="J144:J145"/>
    <mergeCell ref="G60:G61"/>
    <mergeCell ref="H60:H61"/>
    <mergeCell ref="I60:I61"/>
    <mergeCell ref="J60:J61"/>
    <mergeCell ref="J78:J79"/>
    <mergeCell ref="H78:H79"/>
    <mergeCell ref="G140:G141"/>
    <mergeCell ref="B64:C64"/>
    <mergeCell ref="B82:C82"/>
    <mergeCell ref="A35:A36"/>
    <mergeCell ref="B35:C35"/>
    <mergeCell ref="D35:D36"/>
    <mergeCell ref="E35:E36"/>
    <mergeCell ref="E78:E79"/>
    <mergeCell ref="B43:C43"/>
    <mergeCell ref="D43:D44"/>
    <mergeCell ref="E50:E51"/>
    <mergeCell ref="E144:E145"/>
    <mergeCell ref="E146:E147"/>
    <mergeCell ref="F136:F137"/>
    <mergeCell ref="F138:F139"/>
    <mergeCell ref="F142:F143"/>
    <mergeCell ref="F33:F34"/>
    <mergeCell ref="F35:F36"/>
    <mergeCell ref="F43:F44"/>
    <mergeCell ref="F84:F85"/>
    <mergeCell ref="F86:F87"/>
    <mergeCell ref="G35:G36"/>
    <mergeCell ref="H35:H36"/>
    <mergeCell ref="G146:G147"/>
    <mergeCell ref="J146:J147"/>
    <mergeCell ref="J35:J36"/>
    <mergeCell ref="I43:I44"/>
    <mergeCell ref="G43:G44"/>
    <mergeCell ref="J43:J44"/>
    <mergeCell ref="J92:J93"/>
    <mergeCell ref="G94:G95"/>
    <mergeCell ref="F8:F12"/>
    <mergeCell ref="F22:F23"/>
    <mergeCell ref="F24:F25"/>
    <mergeCell ref="F26:F27"/>
    <mergeCell ref="F28:F29"/>
    <mergeCell ref="F31:F32"/>
    <mergeCell ref="E7:F7"/>
    <mergeCell ref="F14:F15"/>
    <mergeCell ref="F16:F17"/>
    <mergeCell ref="F18:F19"/>
    <mergeCell ref="F20:F21"/>
    <mergeCell ref="F60:F61"/>
    <mergeCell ref="F56:F57"/>
    <mergeCell ref="F58:F59"/>
    <mergeCell ref="E18:E19"/>
    <mergeCell ref="E14:E15"/>
    <mergeCell ref="A140:A141"/>
    <mergeCell ref="A142:A143"/>
    <mergeCell ref="A144:A145"/>
    <mergeCell ref="A146:A147"/>
    <mergeCell ref="D144:D145"/>
    <mergeCell ref="F94:F95"/>
    <mergeCell ref="F98:F99"/>
    <mergeCell ref="F100:F101"/>
    <mergeCell ref="F124:F125"/>
    <mergeCell ref="B94:C94"/>
    <mergeCell ref="F66:F67"/>
    <mergeCell ref="F68:F69"/>
    <mergeCell ref="F82:F83"/>
    <mergeCell ref="D146:D147"/>
    <mergeCell ref="F126:F127"/>
    <mergeCell ref="F128:F129"/>
    <mergeCell ref="F130:F131"/>
    <mergeCell ref="F80:F81"/>
    <mergeCell ref="F144:F145"/>
    <mergeCell ref="F146:F147"/>
    <mergeCell ref="A138:A139"/>
    <mergeCell ref="I118:I119"/>
    <mergeCell ref="J116:J117"/>
    <mergeCell ref="J124:J125"/>
    <mergeCell ref="I120:I121"/>
    <mergeCell ref="F112:F113"/>
    <mergeCell ref="D138:D139"/>
    <mergeCell ref="A136:A137"/>
    <mergeCell ref="A126:A127"/>
    <mergeCell ref="B126:C126"/>
    <mergeCell ref="F148:F149"/>
    <mergeCell ref="F114:F115"/>
    <mergeCell ref="F116:F117"/>
    <mergeCell ref="F118:F119"/>
    <mergeCell ref="F120:F121"/>
    <mergeCell ref="F140:F141"/>
  </mergeCells>
  <printOptions/>
  <pageMargins left="0" right="0" top="0" bottom="0" header="0.25" footer="0"/>
  <pageSetup fitToHeight="0" fitToWidth="1" horizontalDpi="600" verticalDpi="600" orientation="landscape" scale="84" r:id="rId2"/>
  <headerFooter scaleWithDoc="0">
    <oddHeader>&amp;C
</oddHeader>
    <oddFooter>&amp;L&amp;7&amp;P of &amp;N&amp;R&amp;7 1/10/17</oddFooter>
  </headerFooter>
  <rowBreaks count="3" manualBreakCount="3">
    <brk id="62" max="255" man="1"/>
    <brk id="90" max="255" man="1"/>
    <brk id="134" max="255" man="1"/>
  </rowBreaks>
  <ignoredErrors>
    <ignoredError sqref="H20 H28 H2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Integrated Food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G. Giuliano</dc:creator>
  <cp:keywords/>
  <dc:description/>
  <cp:lastModifiedBy>Perla Gonzalez</cp:lastModifiedBy>
  <cp:lastPrinted>2017-02-03T18:07:32Z</cp:lastPrinted>
  <dcterms:created xsi:type="dcterms:W3CDTF">2001-08-02T21:50:14Z</dcterms:created>
  <dcterms:modified xsi:type="dcterms:W3CDTF">2017-10-18T19:36:01Z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